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pXMDR7n4awNriT5HB1+4Xty/5jOTIMSVs/QPWHaHrpf9ZvjwSmFwRaCVAVoVk/ZsgRh2ugMGqjyZMosPBhI0BA==" workbookSaltValue="SeBWTL1HUJwj4ZEvKxet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R8" i="9"/>
  <c r="X12" i="21" s="1"/>
  <c r="R19" i="8"/>
  <c r="EP19" i="8"/>
  <c r="EP19" i="19"/>
  <c r="T17" i="11"/>
  <c r="AP16" i="20"/>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9" i="11"/>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D12" i="8"/>
  <c r="J18" i="17"/>
  <c r="L15" i="2"/>
  <c r="L16" i="2"/>
  <c r="L17" i="2"/>
  <c r="U9" i="17"/>
  <c r="U19" i="17" s="1"/>
  <c r="V10" i="16"/>
  <c r="L9" i="2"/>
  <c r="V9" i="16"/>
  <c r="BG15" i="13"/>
  <c r="BA18" i="13"/>
  <c r="BE15" i="13"/>
  <c r="AH20" i="20"/>
  <c r="AL20" i="20"/>
  <c r="AB20" i="20"/>
  <c r="AO20" i="20"/>
  <c r="AN20" i="20"/>
  <c r="Y20" i="20"/>
  <c r="U10" i="11"/>
  <c r="BF17" i="8" l="1"/>
  <c r="C17" i="6"/>
  <c r="T19" i="8"/>
  <c r="AJ19" i="8"/>
  <c r="AC10" i="11"/>
  <c r="D10" i="6"/>
  <c r="BE10" i="8"/>
  <c r="I10" i="12" s="1"/>
  <c r="D13" i="7"/>
  <c r="B10" i="6"/>
  <c r="AL12" i="11"/>
  <c r="H12" i="7"/>
  <c r="C10" i="6"/>
  <c r="BD11" i="13"/>
  <c r="BB13" i="13"/>
  <c r="BG15" i="8"/>
  <c r="K15" i="7" s="1"/>
  <c r="BD16" i="8"/>
  <c r="AO17" i="11"/>
  <c r="L16" i="14"/>
  <c r="L17" i="14"/>
  <c r="F15" i="17"/>
  <c r="AQ15" i="17" s="1"/>
  <c r="BF9" i="8"/>
  <c r="E12" i="6"/>
  <c r="AO12" i="11"/>
  <c r="H12" i="2"/>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7" i="12" l="1"/>
  <c r="C13" i="6"/>
  <c r="F13" i="2"/>
  <c r="K9" i="1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<sst xmlns="http://schemas.openxmlformats.org/spreadsheetml/2006/main" count="2074" uniqueCount="909">
  <si>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</si>
  <si>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</si>
  <si>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</si>
  <si>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</si>
  <si>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</si>
  <si>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</si>
  <si>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</si>
  <si>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</si>
  <si>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</si>
  <si>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</si>
  <si>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</si>
  <si>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</si>
  <si>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</si>
  <si>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</si>
  <si>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</si>
  <si>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</si>
  <si>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</si>
  <si>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</si>
  <si>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</si>
  <si>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</si>
  <si>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</si>
  <si>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</si>
  <si>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</si>
  <si>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</si>
  <si>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</si>
  <si>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</si>
  <si>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</si>
  <si>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</si>
  <si>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</si>
  <si>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</si>
  <si>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</si>
  <si>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</si>
  <si>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</si>
  <si>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</si>
  <si>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</si>
  <si>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</si>
  <si>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</si>
  <si>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</si>
  <si>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</si>
  <si>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</si>
  <si>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</si>
  <si>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</si>
  <si>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</si>
  <si>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</si>
  <si>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</si>
  <si>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</si>
  <si>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</si>
  <si>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</si>
  <si>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</si>
  <si>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</si>
  <si>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</si>
  <si>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</si>
  <si>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</si>
  <si>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</si>
  <si>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</si>
  <si>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</si>
  <si>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</si>
  <si>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</si>
  <si>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</si>
  <si>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</si>
  <si>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</si>
  <si>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</si>
  <si>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</si>
  <si>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</si>
  <si>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</si>
  <si>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</si>
  <si>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</si>
  <si>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</si>
  <si>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</si>
  <si>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</si>
  <si>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</si>
  <si>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</si>
  <si>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</si>
  <si>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</si>
  <si>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</si>
  <si>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</si>
  <si>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</si>
  <si>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</si>
  <si>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</si>
  <si>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</si>
  <si>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</si>
  <si>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</si>
  <si>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</si>
  <si>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</si>
  <si>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</si>
  <si>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</si>
  <si>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</si>
  <si>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</si>
  <si>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</si>
  <si>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</si>
  <si>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</si>
  <si>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</si>
  <si>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</si>
  <si>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</si>
  <si>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</si>
  <si>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</si>
  <si>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</si>
  <si>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</si>
  <si>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</si>
  <si>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</si>
  <si>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</si>
  <si>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</si>
  <si>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</si>
  <si>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</si>
  <si>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</si>
  <si>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</si>
  <si>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</si>
  <si>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</si>
  <si>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</si>
  <si>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</si>
  <si>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</si>
  <si>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</si>
  <si>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</si>
  <si>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</si>
  <si>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</si>
  <si>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</si>
  <si>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</si>
  <si>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</si>
  <si>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</si>
  <si>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</si>
  <si>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</si>
  <si>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</si>
  <si>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</si>
  <si>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</si>
  <si>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</si>
  <si>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</si>
  <si>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</si>
  <si>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</si>
  <si>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</si>
  <si>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</si>
  <si>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</si>
  <si>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</si>
  <si>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</si>
  <si>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</si>
  <si>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</si>
  <si>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</si>
  <si>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</si>
  <si>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</si>
  <si>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</si>
  <si>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</si>
  <si>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</si>
  <si>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</si>
  <si>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</si>
  <si>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</si>
  <si>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</si>
  <si>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</si>
  <si>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</si>
  <si>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</si>
  <si>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</si>
  <si>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</si>
  <si>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</si>
  <si>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</si>
  <si>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</si>
  <si>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</si>
  <si>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</si>
  <si>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</si>
  <si>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</si>
  <si>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</si>
  <si>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</si>
  <si>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</si>
  <si>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</si>
  <si>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</si>
  <si>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</si>
  <si>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</si>
  <si>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</si>
  <si>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</si>
  <si>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</si>
  <si>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</si>
  <si>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</si>
  <si>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</si>
  <si>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</si>
  <si>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</si>
  <si>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</si>
  <si>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</si>
  <si>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</si>
  <si>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</si>
  <si>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</si>
  <si>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</si>
  <si>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</si>
  <si>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</si>
  <si>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</si>
  <si>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</si>
  <si>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</si>
  <si>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</si>
  <si>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</si>
  <si>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</si>
  <si>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</si>
  <si>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</si>
  <si>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</si>
  <si>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</si>
  <si>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</si>
  <si>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</si>
  <si>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</si>
  <si>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</si>
  <si>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</si>
  <si>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</si>
  <si>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</si>
  <si>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</si>
  <si>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</si>
  <si>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</si>
  <si>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</si>
  <si>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</si>
  <si>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</si>
  <si>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</si>
  <si>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</si>
  <si>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</si>
  <si>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</si>
  <si>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</si>
  <si>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</si>
  <si>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</si>
  <si>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</si>
  <si>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</si>
  <si>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</si>
  <si>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</si>
  <si>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</si>
  <si>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</si>
  <si>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</si>
  <si>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</si>
  <si>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</si>
  <si>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</si>
  <si>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</si>
  <si>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</si>
  <si>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</si>
  <si>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</si>
  <si>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</si>
  <si>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</si>
  <si>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</si>
  <si>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</si>
  <si>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</si>
  <si>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</si>
  <si>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</si>
  <si>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</si>
  <si>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</si>
  <si>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</si>
  <si>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</si>
  <si>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</si>
  <si>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</si>
  <si>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</si>
  <si>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</si>
  <si>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</si>
  <si>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</si>
  <si>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</si>
  <si>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</si>
  <si>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</si>
  <si>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</si>
  <si>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</si>
  <si>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</si>
  <si>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</si>
  <si>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</si>
  <si>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</si>
  <si>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</si>
  <si>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</si>
  <si>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</si>
  <si>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</si>
  <si>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</si>
  <si>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</si>
  <si>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</si>
  <si>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</si>
  <si>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</si>
  <si>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</si>
  <si>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</si>
  <si>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</si>
  <si>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</si>
  <si>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</si>
  <si>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</si>
  <si>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</si>
  <si>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</si>
  <si>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</si>
  <si>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</si>
  <si>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</si>
  <si>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</si>
  <si>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</si>
  <si>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</si>
  <si>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</si>
  <si>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</si>
  <si>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</si>
  <si>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</si>
  <si>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</si>
  <si>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</si>
  <si>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</si>
  <si>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</si>
  <si>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</si>
  <si>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</si>
  <si>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</si>
  <si>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</si>
  <si>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</si>
  <si>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</si>
  <si>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</si>
  <si>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</si>
  <si>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</si>
  <si>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</si>
  <si>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</si>
  <si>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</si>
  <si>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</si>
  <si>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</si>
  <si>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</si>
  <si>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</si>
  <si>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</si>
  <si>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</si>
  <si>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</si>
  <si>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</si>
  <si>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</si>
  <si>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</si>
  <si>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</si>
  <si>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</si>
  <si>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</si>
  <si>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</si>
  <si>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</si>
  <si>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</si>
  <si>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</si>
  <si>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</si>
  <si>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</si>
  <si>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</si>
  <si>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</si>
  <si>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</si>
  <si>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</si>
  <si>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</si>
  <si>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</si>
  <si>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</si>
  <si>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</si>
  <si>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</si>
  <si>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</si>
  <si>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</si>
  <si>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</si>
  <si>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</si>
  <si>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</si>
  <si>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</si>
  <si>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</si>
  <si>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</si>
  <si>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</si>
  <si>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</si>
  <si>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</si>
  <si>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</si>
  <si>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</si>
  <si>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</si>
  <si>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</si>
  <si>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</si>
  <si>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</si>
  <si>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</si>
  <si>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</si>
  <si>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</si>
  <si>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</si>
  <si>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</si>
  <si>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</si>
  <si>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</si>
  <si>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</si>
  <si>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</si>
  <si>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</si>
  <si>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</si>
  <si>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</si>
  <si>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</si>
  <si>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</si>
  <si>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</si>
  <si>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</si>
  <si>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</si>
  <si>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</si>
  <si>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</si>
  <si>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</si>
  <si>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</si>
  <si>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</si>
  <si>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</si>
  <si>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</si>
  <si>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</si>
  <si>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</si>
  <si>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</si>
  <si>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</si>
  <si>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</si>
  <si>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</si>
  <si>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</si>
  <si>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</si>
  <si>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</si>
  <si>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</si>
  <si>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</si>
  <si>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</si>
  <si>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</si>
  <si>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</si>
  <si>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</si>
  <si>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</si>
  <si>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</si>
  <si>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</si>
  <si>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</si>
  <si>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</si>
  <si>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</si>
  <si>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</si>
  <si>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</si>
  <si>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</si>
  <si>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</si>
  <si>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</si>
  <si>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</si>
  <si>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</si>
  <si>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</si>
  <si>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</si>
  <si>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</si>
  <si>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</si>
  <si>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</si>
  <si>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</si>
  <si>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</si>
  <si>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</si>
  <si>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</si>
  <si>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</si>
  <si>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</si>
  <si>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</si>
  <si>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</si>
  <si>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</si>
  <si>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</si>
  <si>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</si>
  <si>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</si>
  <si>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</si>
  <si>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</si>
  <si>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</si>
  <si>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</si>
  <si>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</si>
  <si>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</si>
  <si>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</si>
  <si>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</si>
  <si>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</si>
  <si>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</si>
  <si>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</si>
  <si>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</si>
  <si>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</si>
  <si>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</si>
  <si>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</si>
  <si>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</si>
  <si>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</si>
  <si>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</si>
  <si>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</si>
  <si>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</si>
  <si>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</si>
  <si>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</si>
  <si>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</si>
  <si>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</si>
  <si>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</si>
  <si>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</si>
  <si>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</si>
  <si>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</si>
  <si>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</si>
  <si>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</si>
  <si>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</si>
  <si>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</si>
  <si>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</si>
  <si>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</si>
  <si>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</si>
  <si>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</si>
  <si>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</si>
  <si>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</si>
  <si>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</si>
  <si>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</si>
  <si>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</si>
  <si>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</si>
  <si>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</si>
  <si>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</si>
  <si>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</si>
  <si>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</si>
  <si>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</si>
  <si>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</si>
  <si>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</si>
  <si>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</si>
  <si>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</si>
  <si>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</si>
  <si>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</si>
  <si>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</si>
  <si>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</si>
  <si>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</si>
  <si>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</si>
  <si>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</si>
  <si>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</si>
  <si>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</si>
  <si>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</si>
  <si>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</si>
  <si>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</si>
  <si>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</si>
  <si>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</si>
  <si>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</si>
  <si>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</si>
  <si>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</si>
  <si>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</si>
  <si>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</si>
  <si>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</si>
  <si>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</si>
  <si>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</si>
  <si>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</si>
  <si>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</si>
  <si>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</si>
  <si>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</si>
  <si>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</si>
  <si>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</si>
  <si>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</si>
  <si>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</si>
  <si>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</si>
  <si>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</si>
  <si>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</si>
  <si>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</si>
  <si>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</si>
  <si>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</si>
  <si>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</si>
  <si>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</si>
  <si>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</si>
  <si>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</si>
  <si>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</si>
  <si>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</si>
  <si>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</si>
  <si>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</si>
  <si>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</si>
  <si>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</si>
  <si>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</si>
  <si>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</si>
  <si>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</si>
  <si>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</si>
  <si>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</si>
  <si>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</si>
  <si>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</si>
  <si>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</si>
  <si>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</si>
  <si>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</si>
  <si>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</si>
  <si>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</si>
  <si>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</si>
  <si>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</si>
  <si>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</si>
  <si>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</si>
  <si>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</si>
  <si>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</si>
  <si>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</si>
  <si>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</si>
  <si>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</si>
  <si>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</si>
  <si>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</si>
  <si>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</si>
  <si>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</si>
  <si>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</si>
  <si>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</si>
  <si>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</si>
  <si>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</si>
  <si>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</si>
  <si>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</si>
  <si>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</si>
  <si>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</si>
  <si>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</si>
  <si>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</si>
  <si>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</si>
  <si>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</si>
  <si>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</si>
  <si>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</si>
  <si>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</si>
  <si>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</si>
  <si>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</si>
  <si>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</si>
  <si>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</si>
  <si>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</si>
  <si>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</si>
  <si>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</si>
  <si>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</si>
  <si>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</si>
  <si>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</si>
  <si>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</si>
  <si>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</si>
  <si>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</si>
  <si>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</si>
  <si>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</si>
  <si>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</si>
  <si>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</si>
  <si>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</si>
  <si>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</si>
  <si>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</si>
  <si>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</si>
  <si>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</si>
  <si>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</si>
  <si>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</si>
  <si>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</si>
  <si>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</si>
  <si>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</si>
  <si>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</si>
  <si>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</si>
  <si>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</si>
  <si>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</si>
  <si>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</si>
  <si>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</si>
  <si>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</si>
  <si>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</si>
  <si>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</si>
  <si>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</si>
  <si>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</si>
  <si>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</si>
  <si>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</si>
  <si>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</si>
  <si>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</si>
  <si>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</si>
  <si>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</si>
  <si>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</si>
  <si>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</si>
  <si>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</si>
  <si>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</si>
  <si>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</si>
  <si>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</si>
  <si>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</si>
  <si>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</si>
  <si>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</si>
  <si>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</si>
  <si>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</si>
  <si>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</si>
  <si>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</si>
  <si>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</si>
  <si>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</si>
  <si>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</si>
  <si>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</si>
  <si>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</si>
  <si>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</si>
  <si>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</si>
  <si>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</si>
  <si>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</si>
  <si>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</si>
  <si>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</si>
  <si>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</si>
  <si>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</si>
  <si>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</si>
  <si>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</si>
  <si>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</si>
  <si>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</si>
  <si>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</si>
  <si>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</si>
  <si>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</si>
  <si>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</si>
  <si>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</si>
  <si>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</si>
  <si>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</si>
  <si>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</si>
  <si>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</si>
  <si>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</si>
  <si>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</si>
  <si>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</si>
  <si>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</si>
  <si>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</si>
  <si>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</si>
  <si>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</si>
  <si>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</si>
  <si>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</si>
  <si>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</si>
  <si>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</si>
  <si>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</si>
  <si>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</si>
  <si>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</si>
  <si>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</si>
  <si>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</si>
  <si>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</si>
  <si>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</si>
  <si>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</si>
  <si>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</si>
  <si>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</si>
  <si>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</si>
  <si>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</si>
  <si>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</si>
  <si>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</si>
  <si>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</si>
  <si>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</si>
  <si>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</si>
  <si>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</si>
  <si>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</si>
  <si>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</si>
  <si>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</si>
  <si>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</si>
  <si>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</si>
  <si>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</si>
  <si>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</si>
  <si>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</si>
  <si>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</si>
  <si>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</si>
  <si>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</si>
  <si>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</si>
  <si>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</si>
  <si>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</si>
  <si>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</si>
  <si>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</si>
  <si>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</si>
  <si>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</si>
  <si>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</si>
  <si>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</si>
  <si>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</si>
  <si>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</si>
  <si>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</si>
  <si>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</si>
  <si>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</si>
  <si>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</si>
  <si>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</si>
  <si>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</si>
  <si>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</si>
  <si>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</si>
  <si>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</si>
  <si>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</si>
  <si>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</si>
  <si>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</si>
  <si>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</si>
  <si>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</si>
  <si>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</si>
  <si>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</si>
  <si>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</si>
  <si>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</si>
  <si>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</si>
  <si>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</si>
  <si>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</si>
  <si>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</si>
  <si>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</si>
  <si>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</si>
  <si>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</si>
  <si>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</si>
  <si>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</si>
  <si>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</si>
  <si>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</si>
  <si>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</si>
  <si>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</si>
  <si>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</si>
  <si>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</si>
  <si>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</si>
  <si>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</si>
  <si>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</si>
  <si>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</si>
  <si>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</si>
  <si>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</si>
  <si>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</si>
  <si>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</si>
  <si>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</si>
  <si>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</si>
  <si>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</si>
  <si>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</si>
  <si>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</si>
  <si>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</si>
  <si>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</si>
  <si>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</si>
  <si>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</si>
  <si>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</si>
  <si>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</si>
  <si>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</si>
  <si>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</si>
  <si>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</si>
  <si>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</si>
  <si>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</si>
  <si>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</si>
  <si>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</si>
  <si>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</si>
  <si>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</si>
  <si>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</si>
  <si>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</si>
  <si>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</si>
  <si>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</si>
  <si>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</si>
  <si>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</si>
  <si>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</si>
  <si>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</si>
  <si>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</si>
  <si>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</si>
  <si>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</si>
  <si>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</si>
  <si>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</si>
  <si>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</si>
  <si>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</si>
  <si>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</si>
  <si>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</si>
  <si>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</si>
  <si>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</si>
  <si>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</si>
  <si>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</si>
  <si>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</si>
  <si>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</si>
  <si>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</si>
  <si>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</si>
  <si>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</si>
  <si>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</si>
  <si>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</si>
  <si>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</si>
  <si>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</si>
  <si>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</si>
  <si>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</si>
  <si>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</si>
  <si>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</si>
  <si>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</si>
  <si>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</si>
  <si>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</si>
  <si>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</si>
  <si>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</si>
  <si>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</si>
  <si>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</si>
  <si>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</si>
  <si>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</si>
  <si>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</si>
  <si>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</si>
  <si>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</si>
  <si>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</si>
  <si>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</si>
  <si>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</si>
  <si>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</si>
  <si>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</si>
  <si>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</si>
  <si>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</si>
  <si>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</si>
  <si>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</si>
  <si>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</si>
  <si>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</si>
  <si>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</si>
  <si>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</si>
  <si>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</si>
  <si>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</si>
  <si>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</si>
  <si>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</si>
  <si>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</si>
  <si>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</si>
  <si>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</si>
  <si>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</si>
  <si>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</si>
  <si>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</si>
  <si>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</si>
  <si>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</si>
  <si>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</si>
  <si>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</si>
  <si>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</si>
  <si>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</si>
  <si>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</si>
  <si>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</si>
  <si>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</si>
  <si>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</si>
  <si>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</si>
  <si>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</si>
  <si>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</si>
  <si>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</si>
  <si>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</si>
  <si>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</si>
  <si>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</si>
  <si>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</si>
  <si>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</si>
  <si>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</si>
  <si>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</si>
  <si>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</si>
  <si>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</si>
  <si>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</si>
  <si>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</si>
  <si>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</si>
  <si>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</si>
  <si>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</si>
  <si>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</si>
  <si>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</si>
  <si>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</si>
  <si>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</si>
  <si>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</si>
  <si>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</si>
  <si>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</si>
  <si>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</si>
  <si>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</si>
  <si>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</si>
  <si>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</si>
  <si>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</si>
  <si>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</si>
  <si>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</si>
  <si>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</si>
  <si>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</si>
  <si>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</si>
  <si>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</si>
  <si>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</si>
  <si>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</si>
  <si>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</si>
  <si>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</si>
  <si>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</si>
  <si>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</si>
  <si>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</si>
  <si>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</si>
  <si>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</si>
  <si>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</si>
  <si>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</si>
  <si>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</si>
  <si>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</si>
  <si>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</si>
  <si>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</si>
  <si>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</si>
  <si>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</si>
  <si>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</si>
  <si>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</si>
  <si>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</si>
  <si>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</si>
  <si>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</si>
  <si>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</si>
  <si>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</si>
  <si>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</si>
  <si>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</si>
  <si>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</si>
  <si>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</si>
  <si>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</si>
  <si>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</si>
  <si>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</si>
  <si>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</si>
  <si>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</si>
  <si>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</si>
  <si>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</si>
  <si>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</si>
  <si>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</si>
  <si>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</si>
  <si>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</si>
  <si>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</si>
  <si>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</si>
  <si>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</si>
  <si>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</si>
  <si>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</si>
  <si>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</si>
  <si>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</si>
  <si>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</si>
  <si>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</si>
  <si>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</si>
  <si>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</si>
  <si>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</si>
  <si>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</si>
  <si>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</si>
  <si>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</si>
  <si>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SAN BARTOLOME DE TIRAJANA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</si>
</sst>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bcp5yO0NjbYkhS/eIsZQOb8aIx+1s2mHBZSsJt+lFQ5VCbAN9Q2GBSIDWku+UOtjDF9A0Ks1piIA9wcYand5Q==" saltValue="01d2RJMfp6OBAcosaH72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45.700402819738166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36</v>
      </c>
      <c r="F10" s="226">
        <f>IF(ISNUMBER(Datos!K10),Datos!K10," - ")</f>
        <v>27</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0.10843373493975904</v>
      </c>
      <c r="L10" s="1025">
        <f>IF(ISNUMBER(NºAsuntos!I10/NºAsuntos!G10),(NºAsuntos!I10/NºAsuntos!G10)*11," - ")</f>
        <v>37.481481481481481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36</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2582</v>
      </c>
      <c r="D15" s="225">
        <f>IF(ISNUMBER(IF(D_I="SI",Datos!I15,Datos!I15+Datos!AC15)),IF(D_I="SI",Datos!I15,Datos!I15+Datos!AC15)," - ")</f>
        <v>2554</v>
      </c>
      <c r="E15" s="226">
        <f>IF(ISNUMBER(IF(D_I="SI",Datos!J15,Datos!J15+Datos!AD15)),IF(D_I="SI",Datos!J15,Datos!J15+Datos!AD15)," - ")</f>
        <v>2913</v>
      </c>
      <c r="F15" s="226">
        <f>IF(ISNUMBER(IF(D_I="SI",Datos!K15,Datos!K15+Datos!AE15)),IF(D_I="SI",Datos!K15,Datos!K15+Datos!AE15)," - ")</f>
        <v>3013</v>
      </c>
      <c r="G15" s="1034" t="str">
        <f>IF(Datos!E15&lt;&gt;"",Datos!E15,Datos!D15)</f>
        <v>03</v>
      </c>
      <c r="H15" s="227">
        <f>IF(ISNUMBER(IF(D_I="SI",Datos!L15,Datos!L15+Datos!AF15)),IF(D_I="SI",Datos!L15,Datos!L15+Datos!AF15)," - ")</f>
        <v>2482</v>
      </c>
      <c r="I15" s="1044" t="str">
        <f>IF(ISNUMBER(Datos!AS15/Datos!BM15),Datos!AS15/Datos!BM15," - ")</f>
        <v xml:space="preserve"> - </v>
      </c>
      <c r="J15" s="1045">
        <f>IF(ISNUMBER(Datos!BY15/Datos!CN15),Datos!BY15/Datos!CN15," - ")</f>
        <v>0</v>
      </c>
      <c r="K15" s="230">
        <f t="shared" ref="K15:K17" si="3">IF(ISNUMBER((E15-F15)/C15),(E15-F15)/C15," - ")</f>
        <v>-3.8729666924864445E-2</v>
      </c>
      <c r="L15" s="1025">
        <f>IF(ISNUMBER(NºAsuntos!I15/NºAsuntos!G15),(NºAsuntos!I15/NºAsuntos!G15)*11," - ")</f>
        <v>9.0614005974112182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7</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4</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-0.5714285714285714</v>
      </c>
      <c r="L16" s="1025">
        <f>IF(ISNUMBER(NºAsuntos!I16/NºAsuntos!G16),(NºAsuntos!I16/NºAsuntos!G16)*11," - ")</f>
        <v>8.25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193</v>
      </c>
      <c r="D17" s="225">
        <f>IF(ISNUMBER(IF(D_I="SI",Datos!I17,Datos!I17+Datos!AC17)),IF(D_I="SI",Datos!I17,Datos!I17+Datos!AC17)," - ")</f>
        <v>192</v>
      </c>
      <c r="E17" s="226">
        <f>IF(ISNUMBER(IF(D_I="SI",Datos!J17,Datos!J17+Datos!AD17)),IF(D_I="SI",Datos!J17,Datos!J17+Datos!AD17)," - ")</f>
        <v>276</v>
      </c>
      <c r="F17" s="226">
        <f>IF(ISNUMBER(IF(D_I="SI",Datos!K17,Datos!K17+Datos!AE17)),IF(D_I="SI",Datos!K17,Datos!K17+Datos!AE17)," - ")</f>
        <v>230</v>
      </c>
      <c r="G17" s="1034" t="str">
        <f>IF(Datos!E17&lt;&gt;"",Datos!E17,Datos!D17)</f>
        <v>37</v>
      </c>
      <c r="H17" s="227">
        <f>IF(ISNUMBER(IF(D_I="SI",Datos!L17,Datos!L17+Datos!AF17)),IF(D_I="SI",Datos!L17,Datos!L17+Datos!AF17)," - ")</f>
        <v>239</v>
      </c>
      <c r="I17" s="1044" t="str">
        <f>IF(ISNUMBER(Datos!AS17/Datos!BM17),Datos!AS17/Datos!BM17," - ")</f>
        <v xml:space="preserve"> - </v>
      </c>
      <c r="J17" s="1045" t="str">
        <f>IF(ISNUMBER((Datos!BY17+Datos!BZ17)/Datos!CN17),(Datos!BY17+Datos!BZ17)/Datos!CN17," - ")</f>
        <v xml:space="preserve"> - </v>
      </c>
      <c r="K17" s="230">
        <f t="shared" si="3"/>
        <v>0.23834196891191708</v>
      </c>
      <c r="L17" s="1025">
        <f>IF(ISNUMBER(NºAsuntos!I17/NºAsuntos!G17),(NºAsuntos!I17/NºAsuntos!G17)*11," - ")</f>
        <v>11.430434782608696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2782</v>
      </c>
      <c r="D18" s="1049">
        <f>SUBTOTAL(9,D15:D17)</f>
        <v>2754</v>
      </c>
      <c r="E18" s="1050">
        <f>SUBTOTAL(9,E15:E17)</f>
        <v>3189</v>
      </c>
      <c r="F18" s="1050">
        <f>SUBTOTAL(9,F15:F17)</f>
        <v>3247</v>
      </c>
      <c r="G18" s="1052" t="str">
        <f ca="1">INDIRECT(CONCATENATE("G",ROW()-1))</f>
        <v>37</v>
      </c>
      <c r="H18" s="1053">
        <f ca="1">SUMIF(G$14:G17,G18,H$14:H17)</f>
        <v>239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2865</v>
      </c>
      <c r="D19" s="1071">
        <f>SUBTOTAL(9,D9:D18)</f>
        <v>2837</v>
      </c>
      <c r="E19" s="1072">
        <f>SUBTOTAL(9,E9:E18)</f>
        <v>3225</v>
      </c>
      <c r="F19" s="1072">
        <f>SUBTOTAL(9,F9:F18)</f>
        <v>3274</v>
      </c>
      <c r="G19" s="1073"/>
      <c r="H19" s="1074">
        <f ca="1">SUMIF(B9:B18,"TOTAL",H9:H18)</f>
        <v>239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ix5Y/4v5xZekvTtBjBFYk22wEfUK805fkF6USCyVLWXkF5KHcB+PpsM/N8j+L4X6Jv8wHfN2IQVHQFzfzL4yDQ==" saltValue="GeOlvwTSsmFQdDMupfoPw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4cA3y7XyD6lf0ziQkzTOq2RoMYISbNKZSAGAYA2vqx5mHTllm/GuappKDzxkQa6VK6udEVBM9CwDJD4MUcZQ==" saltValue="woZjMz1IN/7qZMdm9tYg6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13960</v>
      </c>
      <c r="J9" s="181">
        <v>6136</v>
      </c>
      <c r="K9" s="181">
        <v>3888</v>
      </c>
      <c r="L9" s="181">
        <v>16207</v>
      </c>
      <c r="M9" s="181">
        <v>687</v>
      </c>
      <c r="N9" s="181">
        <v>2667</v>
      </c>
      <c r="O9" s="181">
        <v>815</v>
      </c>
      <c r="P9" s="181">
        <v>353</v>
      </c>
      <c r="Q9" s="181">
        <v>322</v>
      </c>
      <c r="R9" s="181">
        <v>10671</v>
      </c>
      <c r="S9" s="181">
        <v>10789</v>
      </c>
      <c r="T9" s="181">
        <v>3400</v>
      </c>
      <c r="U9" s="181">
        <v>2659</v>
      </c>
      <c r="V9" s="181">
        <v>11530</v>
      </c>
      <c r="W9" s="181">
        <v>555</v>
      </c>
      <c r="X9" s="188">
        <v>1675</v>
      </c>
      <c r="Y9" s="191">
        <v>304</v>
      </c>
      <c r="Z9" s="181">
        <v>85</v>
      </c>
      <c r="AA9" s="181">
        <v>84</v>
      </c>
      <c r="AB9" s="181">
        <v>295</v>
      </c>
      <c r="AC9" s="181">
        <v>0</v>
      </c>
      <c r="AD9" s="181">
        <v>0</v>
      </c>
      <c r="AE9" s="181">
        <v>0</v>
      </c>
      <c r="AF9" s="188">
        <v>0</v>
      </c>
      <c r="AG9" s="191">
        <v>347</v>
      </c>
      <c r="AH9" s="181">
        <v>115</v>
      </c>
      <c r="AI9" s="181">
        <v>91</v>
      </c>
      <c r="AJ9" s="192">
        <v>371</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11136</v>
      </c>
      <c r="AZ9" s="123">
        <f>IF(ISNUMBER(IF(J_V="SI",T9,T9+AH9)),IF(J_V="SI",T9,T9+AH9)," - ")</f>
        <v>3515</v>
      </c>
      <c r="BA9" s="124">
        <f>IF(ISNUMBER(IF(J_V="SI",U9,U9+AI9)),IF(J_V="SI",U9,U9+AI9)," - ")</f>
        <v>2750</v>
      </c>
      <c r="BB9" s="124">
        <f>IF(ISNUMBER(IF(J_V="SI",V9,V9+AJ9)),IF(J_V="SI",V9,V9+AJ9)," - ")</f>
        <v>11901</v>
      </c>
      <c r="BC9" s="125">
        <f>IF(ISNUMBER(X9),X9," - ")</f>
        <v>1675</v>
      </c>
      <c r="BD9" s="126">
        <f>IF(ISNUMBER(BA9/AZ9),BA9/AZ9," - ")</f>
        <v>0.78236130867709819</v>
      </c>
      <c r="BE9" s="127">
        <f>IF(ISNUMBER(BB9/BA9),BB9/BA9, " - ")</f>
        <v>4.3276363636363637</v>
      </c>
      <c r="BF9" s="127">
        <f>IF(ISNUMBER(BC9/BA9),BC9/BA9, " - ")</f>
        <v>0.60909090909090913</v>
      </c>
      <c r="BG9" s="196">
        <f>IF(ISNUMBER((AY9+AZ9)/BA9),(AY9+AZ9)/BA9," - ")</f>
        <v>5.3276363636363637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36</v>
      </c>
      <c r="K10" s="181">
        <v>27</v>
      </c>
      <c r="L10" s="181">
        <v>92</v>
      </c>
      <c r="M10" s="181">
        <v>17</v>
      </c>
      <c r="N10" s="181">
        <v>4</v>
      </c>
      <c r="O10" s="181">
        <v>0</v>
      </c>
      <c r="P10" s="181">
        <v>1</v>
      </c>
      <c r="Q10" s="181">
        <v>2</v>
      </c>
      <c r="R10" s="181">
        <v>50</v>
      </c>
      <c r="S10" s="181">
        <v>91</v>
      </c>
      <c r="T10" s="181">
        <v>65</v>
      </c>
      <c r="U10" s="181">
        <v>72</v>
      </c>
      <c r="V10" s="181">
        <v>84</v>
      </c>
      <c r="W10" s="181">
        <v>21</v>
      </c>
      <c r="X10" s="188">
        <v>24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91</v>
      </c>
      <c r="AZ10" s="129">
        <f t="shared" si="0"/>
        <v>65</v>
      </c>
      <c r="BA10" s="129">
        <f t="shared" si="0"/>
        <v>72</v>
      </c>
      <c r="BB10" s="129">
        <f t="shared" si="0"/>
        <v>84</v>
      </c>
      <c r="BC10" s="125">
        <f t="shared" si="0"/>
        <v>21</v>
      </c>
      <c r="BD10" s="126">
        <f>IF(ISNUMBER(BA10/AZ10),BA10/AZ10," - ")</f>
        <v>1.1076923076923078</v>
      </c>
      <c r="BE10" s="127">
        <f>IF(ISNUMBER(BB10/BA10),BB10/BA10, " - ")</f>
        <v>1.1666666666666667</v>
      </c>
      <c r="BF10" s="127">
        <f>IF(ISNUMBER(BC10/BA10),BC10/BA10, " - ")</f>
        <v>0.29166666666666669</v>
      </c>
      <c r="BG10" s="196">
        <f>IF(ISNUMBER((AY10+AZ10)/BA10),(AY10+AZ10)/BA10," - ")</f>
        <v>2.1666666666666665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0</v>
      </c>
      <c r="K12" s="183">
        <v>0</v>
      </c>
      <c r="L12" s="183">
        <v>0</v>
      </c>
      <c r="M12" s="183">
        <v>0</v>
      </c>
      <c r="N12" s="183">
        <v>0</v>
      </c>
      <c r="O12" s="181">
        <v>4</v>
      </c>
      <c r="P12" s="183">
        <v>0</v>
      </c>
      <c r="Q12" s="183">
        <v>4</v>
      </c>
      <c r="R12" s="183">
        <v>524</v>
      </c>
      <c r="S12" s="183">
        <v>6</v>
      </c>
      <c r="T12" s="183">
        <v>0</v>
      </c>
      <c r="U12" s="183">
        <v>0</v>
      </c>
      <c r="V12" s="183">
        <v>6</v>
      </c>
      <c r="W12" s="183">
        <v>0</v>
      </c>
      <c r="X12" s="189">
        <v>25</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793</v>
      </c>
      <c r="AT12" s="203"/>
      <c r="AU12" s="202"/>
      <c r="AV12" s="203"/>
      <c r="AW12" s="202"/>
      <c r="AX12" s="203"/>
      <c r="AY12" s="126">
        <f t="shared" si="1"/>
        <v>6</v>
      </c>
      <c r="AZ12" s="127">
        <f t="shared" si="1"/>
        <v>0</v>
      </c>
      <c r="BA12" s="127">
        <f t="shared" si="1"/>
        <v>0</v>
      </c>
      <c r="BB12" s="127">
        <f t="shared" si="1"/>
        <v>6</v>
      </c>
      <c r="BC12" s="125">
        <f>IF(ISNUMBER(X12),X12," - ")</f>
        <v>25</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14043</v>
      </c>
      <c r="J13" s="184">
        <f t="shared" si="6"/>
        <v>6172</v>
      </c>
      <c r="K13" s="184">
        <f t="shared" si="6"/>
        <v>3915</v>
      </c>
      <c r="L13" s="184">
        <f t="shared" si="6"/>
        <v>16299</v>
      </c>
      <c r="M13" s="184">
        <f t="shared" si="6"/>
        <v>704</v>
      </c>
      <c r="N13" s="184">
        <f t="shared" si="6"/>
        <v>2671</v>
      </c>
      <c r="O13" s="184">
        <f t="shared" si="6"/>
        <v>819</v>
      </c>
      <c r="P13" s="184">
        <f t="shared" si="6"/>
        <v>354</v>
      </c>
      <c r="Q13" s="184">
        <f t="shared" si="6"/>
        <v>328</v>
      </c>
      <c r="R13" s="184">
        <f t="shared" si="6"/>
        <v>11245</v>
      </c>
      <c r="S13" s="184">
        <f t="shared" si="6"/>
        <v>10886</v>
      </c>
      <c r="T13" s="184">
        <f t="shared" si="6"/>
        <v>3465</v>
      </c>
      <c r="U13" s="184">
        <f t="shared" si="6"/>
        <v>2731</v>
      </c>
      <c r="V13" s="184">
        <f t="shared" si="6"/>
        <v>11620</v>
      </c>
      <c r="W13" s="184">
        <f t="shared" si="6"/>
        <v>576</v>
      </c>
      <c r="X13" s="184">
        <f t="shared" si="6"/>
        <v>1724</v>
      </c>
      <c r="Y13" s="184">
        <f t="shared" si="6"/>
        <v>304</v>
      </c>
      <c r="Z13" s="184">
        <f t="shared" si="6"/>
        <v>85</v>
      </c>
      <c r="AA13" s="184">
        <f t="shared" si="6"/>
        <v>84</v>
      </c>
      <c r="AB13" s="184">
        <f t="shared" si="6"/>
        <v>295</v>
      </c>
      <c r="AC13" s="184">
        <f t="shared" si="6"/>
        <v>0</v>
      </c>
      <c r="AD13" s="184">
        <f t="shared" si="6"/>
        <v>0</v>
      </c>
      <c r="AE13" s="184">
        <f t="shared" si="6"/>
        <v>0</v>
      </c>
      <c r="AF13" s="184">
        <f>SUBTOTAL(9,AF9:AF12)</f>
        <v>0</v>
      </c>
      <c r="AG13" s="184">
        <f t="shared" ref="AG13:AT13" si="7">SUBTOTAL(9,AG8:AG12)</f>
        <v>347</v>
      </c>
      <c r="AH13" s="184">
        <f t="shared" si="7"/>
        <v>115</v>
      </c>
      <c r="AI13" s="184">
        <f t="shared" si="7"/>
        <v>91</v>
      </c>
      <c r="AJ13" s="184">
        <f t="shared" si="7"/>
        <v>371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11233</v>
      </c>
      <c r="AZ13" s="184">
        <f>SUBTOTAL(9,AZ8:AZ12)</f>
        <v>3580</v>
      </c>
      <c r="BA13" s="184">
        <f>SUBTOTAL(9,BA8:BA12)</f>
        <v>2822</v>
      </c>
      <c r="BB13" s="184">
        <f>SUBTOTAL(9,BB8:BB12)</f>
        <v>11991</v>
      </c>
      <c r="BC13" s="184">
        <f>SUBTOTAL(9,BC8:BC12)</f>
        <v>1721</v>
      </c>
      <c r="BD13" s="205">
        <f>IF(ISNUMBER(BA13/AZ13),BA13/AZ13," - ")</f>
        <v>0.78826815642458103</v>
      </c>
      <c r="BE13" s="206">
        <f>IF(ISNUMBER(BB13/BA13),BB13/BA13, " - ")</f>
        <v>4.2491141034727145</v>
      </c>
      <c r="BF13" s="206">
        <f>IF(ISNUMBER(BC13/BA13),BC13/BA13, " - ")</f>
        <v>0.60985116938341599</v>
      </c>
      <c r="BG13" s="207">
        <f>IF(ISNUMBER((AY13+AZ13)/BA13),(AY13+AZ13)/BA13," - ")</f>
        <v>5.2491141034727145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2554</v>
      </c>
      <c r="J15" s="183">
        <v>2913</v>
      </c>
      <c r="K15" s="183">
        <v>3013</v>
      </c>
      <c r="L15" s="183">
        <v>2482</v>
      </c>
      <c r="M15" s="183">
        <v>359</v>
      </c>
      <c r="N15" s="183">
        <v>2132</v>
      </c>
      <c r="O15" s="181">
        <v>12</v>
      </c>
      <c r="P15" s="183">
        <v>80</v>
      </c>
      <c r="Q15" s="183">
        <v>56</v>
      </c>
      <c r="R15" s="183">
        <v>612</v>
      </c>
      <c r="S15" s="183">
        <v>3235</v>
      </c>
      <c r="T15" s="183">
        <v>3042</v>
      </c>
      <c r="U15" s="183">
        <v>3364</v>
      </c>
      <c r="V15" s="183">
        <v>2572</v>
      </c>
      <c r="W15" s="183">
        <v>328</v>
      </c>
      <c r="X15" s="189">
        <v>2620</v>
      </c>
      <c r="Y15" s="202">
        <v>0</v>
      </c>
      <c r="Z15" s="183">
        <v>0</v>
      </c>
      <c r="AA15" s="183">
        <v>0</v>
      </c>
      <c r="AB15" s="183">
        <v>0</v>
      </c>
      <c r="AC15" s="183">
        <v>1</v>
      </c>
      <c r="AD15" s="183">
        <v>3</v>
      </c>
      <c r="AE15" s="183">
        <v>2</v>
      </c>
      <c r="AF15" s="189">
        <v>2</v>
      </c>
      <c r="AG15" s="202">
        <v>0</v>
      </c>
      <c r="AH15" s="183">
        <v>0</v>
      </c>
      <c r="AI15" s="183">
        <v>0</v>
      </c>
      <c r="AJ15" s="203">
        <v>0</v>
      </c>
      <c r="AK15" s="182">
        <v>0</v>
      </c>
      <c r="AL15" s="183">
        <v>1</v>
      </c>
      <c r="AM15" s="183">
        <v>1</v>
      </c>
      <c r="AN15" s="189">
        <v>0</v>
      </c>
      <c r="AO15" s="259">
        <v>4</v>
      </c>
      <c r="AP15" s="155">
        <v>4</v>
      </c>
      <c r="AQ15" s="155">
        <v>4</v>
      </c>
      <c r="AR15" s="155">
        <v>4</v>
      </c>
      <c r="AS15" s="340" t="s">
        <v>518</v>
      </c>
      <c r="AT15" s="203" t="s">
        <v>326</v>
      </c>
      <c r="AU15" s="202"/>
      <c r="AV15" s="203"/>
      <c r="AW15" s="202"/>
      <c r="AX15" s="203"/>
      <c r="AY15" s="128">
        <f t="shared" ref="AY15:BB16" si="9">IF(ISNUMBER(IF(D_I="SI",S15,S15+AK15)),IF(D_I="SI",S15,S15+AK15)," - ")</f>
        <v>3235</v>
      </c>
      <c r="AZ15" s="129">
        <f t="shared" si="9"/>
        <v>3042</v>
      </c>
      <c r="BA15" s="129">
        <f t="shared" si="9"/>
        <v>3364</v>
      </c>
      <c r="BB15" s="129">
        <f t="shared" si="9"/>
        <v>2572</v>
      </c>
      <c r="BC15" s="125">
        <f>IF(ISNUMBER(W15),W15," - ")</f>
        <v>328</v>
      </c>
      <c r="BD15" s="126">
        <f>IF(ISNUMBER(BA15/AZ15),BA15/AZ15," - ")</f>
        <v>1.1058514135437212</v>
      </c>
      <c r="BE15" s="127">
        <f>IF(ISNUMBER(BB15/BA15),BB15/BA15, " - ")</f>
        <v>0.7645659928656362</v>
      </c>
      <c r="BF15" s="127">
        <f>IF(ISNUMBER(BC15/BA15),BC15/BA15, " - ")</f>
        <v>9.7502972651605235E-2</v>
      </c>
      <c r="BG15" s="196">
        <f t="shared" ref="BG15:BG16" si="10">IF(ISNUMBER((AY15+AZ15)/BA15),(AY15+AZ15)/BA15," - ")</f>
        <v>1.8659334126040428</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4</v>
      </c>
      <c r="L16" s="183">
        <v>3</v>
      </c>
      <c r="M16" s="183">
        <v>0</v>
      </c>
      <c r="N16" s="183">
        <v>4</v>
      </c>
      <c r="O16" s="181">
        <v>0</v>
      </c>
      <c r="P16" s="183">
        <v>0</v>
      </c>
      <c r="Q16" s="183">
        <v>0</v>
      </c>
      <c r="R16" s="183">
        <v>0</v>
      </c>
      <c r="S16" s="183">
        <v>9</v>
      </c>
      <c r="T16" s="183">
        <v>0</v>
      </c>
      <c r="U16" s="183">
        <v>0</v>
      </c>
      <c r="V16" s="183">
        <v>8</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9</v>
      </c>
      <c r="AZ16" s="127">
        <f t="shared" si="9"/>
        <v>0</v>
      </c>
      <c r="BA16" s="127">
        <f t="shared" si="9"/>
        <v>0</v>
      </c>
      <c r="BB16" s="127">
        <f t="shared" si="9"/>
        <v>8</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192</v>
      </c>
      <c r="J17" s="183">
        <v>276</v>
      </c>
      <c r="K17" s="183">
        <v>230</v>
      </c>
      <c r="L17" s="183">
        <v>239</v>
      </c>
      <c r="M17" s="183">
        <v>52</v>
      </c>
      <c r="N17" s="183">
        <v>133</v>
      </c>
      <c r="O17" s="183">
        <v>0</v>
      </c>
      <c r="P17" s="183">
        <v>11</v>
      </c>
      <c r="Q17" s="183">
        <v>1</v>
      </c>
      <c r="R17" s="183">
        <v>35</v>
      </c>
      <c r="S17" s="183">
        <v>158</v>
      </c>
      <c r="T17" s="183">
        <v>225</v>
      </c>
      <c r="U17" s="183">
        <v>180</v>
      </c>
      <c r="V17" s="183">
        <v>206</v>
      </c>
      <c r="W17" s="183">
        <v>59</v>
      </c>
      <c r="X17" s="189">
        <v>100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158</v>
      </c>
      <c r="AZ17" s="129">
        <f t="shared" si="14"/>
        <v>225</v>
      </c>
      <c r="BA17" s="129">
        <f t="shared" si="14"/>
        <v>180</v>
      </c>
      <c r="BB17" s="129">
        <f t="shared" si="14"/>
        <v>206</v>
      </c>
      <c r="BC17" s="125">
        <f>IF(ISNUMBER(W17),W17," - ")</f>
        <v>59</v>
      </c>
      <c r="BD17" s="126">
        <f>IF(ISNUMBER(BA17/AZ17),BA17/AZ17," - ")</f>
        <v>0.8</v>
      </c>
      <c r="BE17" s="127">
        <f>IF(ISNUMBER(BB17/BA17),BB17/BA17, " - ")</f>
        <v>1.1444444444444444</v>
      </c>
      <c r="BF17" s="127">
        <f>IF(ISNUMBER(BC17/BA17),BC17/BA17, " - ")</f>
        <v>0.32777777777777778</v>
      </c>
      <c r="BG17" s="196">
        <f>IF(ISNUMBER((AY17+AZ17)/BA17),(AY17+AZ17)/BA17," - ")</f>
        <v>2.1277777777777778</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2754</v>
      </c>
      <c r="J18" s="184">
        <f t="shared" si="15"/>
        <v>3189</v>
      </c>
      <c r="K18" s="184">
        <f t="shared" si="15"/>
        <v>3247</v>
      </c>
      <c r="L18" s="184">
        <f t="shared" si="15"/>
        <v>2724</v>
      </c>
      <c r="M18" s="184">
        <f t="shared" si="15"/>
        <v>411</v>
      </c>
      <c r="N18" s="184">
        <f t="shared" si="15"/>
        <v>2269</v>
      </c>
      <c r="O18" s="184">
        <f t="shared" si="15"/>
        <v>12</v>
      </c>
      <c r="P18" s="184">
        <f t="shared" si="15"/>
        <v>91</v>
      </c>
      <c r="Q18" s="184">
        <f t="shared" si="15"/>
        <v>57</v>
      </c>
      <c r="R18" s="184">
        <f t="shared" si="15"/>
        <v>647</v>
      </c>
      <c r="S18" s="184">
        <f t="shared" si="15"/>
        <v>3402</v>
      </c>
      <c r="T18" s="184">
        <f t="shared" si="15"/>
        <v>3267</v>
      </c>
      <c r="U18" s="184">
        <f t="shared" si="15"/>
        <v>3544</v>
      </c>
      <c r="V18" s="184">
        <f t="shared" si="15"/>
        <v>2786</v>
      </c>
      <c r="W18" s="184">
        <f t="shared" si="15"/>
        <v>387</v>
      </c>
      <c r="X18" s="184">
        <f t="shared" si="15"/>
        <v>2720</v>
      </c>
      <c r="Y18" s="184">
        <f t="shared" si="15"/>
        <v>0</v>
      </c>
      <c r="Z18" s="184">
        <f t="shared" si="15"/>
        <v>0</v>
      </c>
      <c r="AA18" s="184">
        <f t="shared" si="15"/>
        <v>0</v>
      </c>
      <c r="AB18" s="184">
        <f t="shared" si="15"/>
        <v>0</v>
      </c>
      <c r="AC18" s="184">
        <f t="shared" si="15"/>
        <v>1</v>
      </c>
      <c r="AD18" s="184">
        <f t="shared" si="15"/>
        <v>3</v>
      </c>
      <c r="AE18" s="184">
        <f t="shared" si="15"/>
        <v>2</v>
      </c>
      <c r="AF18" s="184">
        <f t="shared" si="15"/>
        <v>2</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3402</v>
      </c>
      <c r="AZ18" s="184">
        <f>SUBTOTAL(9,AZ14:AZ17)</f>
        <v>3267</v>
      </c>
      <c r="BA18" s="184">
        <f>SUBTOTAL(9,BA14:BA17)</f>
        <v>3544</v>
      </c>
      <c r="BB18" s="184">
        <f>SUBTOTAL(9,BB14:BB17)</f>
        <v>2786</v>
      </c>
      <c r="BC18" s="184">
        <f>SUBTOTAL(9,BC14:BC17)</f>
        <v>387</v>
      </c>
      <c r="BD18" s="205">
        <f>IF(ISNUMBER(BA18/AZ18),BA18/AZ18," - ")</f>
        <v>1.0847872666054483</v>
      </c>
      <c r="BE18" s="206">
        <f>IF(ISNUMBER(BB18/BA18),BB18/BA18, " - ")</f>
        <v>0.786117381489842</v>
      </c>
      <c r="BF18" s="206">
        <f>IF(ISNUMBER(BC18/BA18),BC18/BA18, " - ")</f>
        <v>0.10919864559819413</v>
      </c>
      <c r="BG18" s="207">
        <f>IF(ISNUMBER((AY18+AZ18)/BA18),(AY18+AZ18)/BA18," - ")</f>
        <v>1.8817720090293453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16797</v>
      </c>
      <c r="J19" s="134">
        <f t="shared" si="18"/>
        <v>9361</v>
      </c>
      <c r="K19" s="134">
        <f t="shared" si="18"/>
        <v>7162</v>
      </c>
      <c r="L19" s="134">
        <f t="shared" si="18"/>
        <v>19023</v>
      </c>
      <c r="M19" s="134">
        <f t="shared" si="18"/>
        <v>1115</v>
      </c>
      <c r="N19" s="134">
        <f t="shared" si="18"/>
        <v>4940</v>
      </c>
      <c r="O19" s="134">
        <f t="shared" si="18"/>
        <v>831</v>
      </c>
      <c r="P19" s="134">
        <f t="shared" si="18"/>
        <v>445</v>
      </c>
      <c r="Q19" s="134">
        <f t="shared" si="18"/>
        <v>385</v>
      </c>
      <c r="R19" s="134">
        <f t="shared" si="18"/>
        <v>11892</v>
      </c>
      <c r="S19" s="134">
        <f t="shared" si="18"/>
        <v>14288</v>
      </c>
      <c r="T19" s="134">
        <f t="shared" si="18"/>
        <v>6732</v>
      </c>
      <c r="U19" s="134">
        <f t="shared" si="18"/>
        <v>6275</v>
      </c>
      <c r="V19" s="134">
        <f t="shared" si="18"/>
        <v>14406</v>
      </c>
      <c r="W19" s="134">
        <f t="shared" si="18"/>
        <v>963</v>
      </c>
      <c r="X19" s="134">
        <f t="shared" si="18"/>
        <v>4444</v>
      </c>
      <c r="Y19" s="134">
        <f t="shared" si="18"/>
        <v>304</v>
      </c>
      <c r="Z19" s="134">
        <f t="shared" si="18"/>
        <v>85</v>
      </c>
      <c r="AA19" s="134">
        <f t="shared" si="18"/>
        <v>84</v>
      </c>
      <c r="AB19" s="134">
        <f t="shared" si="18"/>
        <v>295</v>
      </c>
      <c r="AC19" s="134">
        <f t="shared" si="18"/>
        <v>1</v>
      </c>
      <c r="AD19" s="134">
        <f t="shared" si="18"/>
        <v>3</v>
      </c>
      <c r="AE19" s="134">
        <f t="shared" si="18"/>
        <v>2</v>
      </c>
      <c r="AF19" s="134">
        <f t="shared" si="18"/>
        <v>2</v>
      </c>
      <c r="AG19" s="134">
        <f t="shared" si="18"/>
        <v>347</v>
      </c>
      <c r="AH19" s="134">
        <f t="shared" si="18"/>
        <v>115</v>
      </c>
      <c r="AI19" s="134">
        <f t="shared" si="18"/>
        <v>91</v>
      </c>
      <c r="AJ19" s="134">
        <f t="shared" si="18"/>
        <v>371</v>
      </c>
      <c r="AK19" s="134">
        <f t="shared" si="18"/>
        <v>0</v>
      </c>
      <c r="AL19" s="134">
        <f t="shared" si="18"/>
        <v>1</v>
      </c>
      <c r="AM19" s="134">
        <f t="shared" si="18"/>
        <v>1</v>
      </c>
      <c r="AN19" s="210">
        <f t="shared" si="18"/>
        <v>0</v>
      </c>
      <c r="AO19" s="211">
        <v>11</v>
      </c>
      <c r="AP19" s="211">
        <v>11</v>
      </c>
      <c r="AQ19" s="211">
        <v>11</v>
      </c>
      <c r="AR19" s="211">
        <v>11</v>
      </c>
      <c r="AS19" s="153">
        <f t="shared" si="18"/>
        <v>0</v>
      </c>
      <c r="AT19" s="153">
        <f t="shared" si="18"/>
        <v>0</v>
      </c>
      <c r="AU19" s="211"/>
      <c r="AV19" s="212"/>
      <c r="AW19" s="211"/>
      <c r="AX19" s="212"/>
      <c r="AY19" s="133">
        <f>SUBTOTAL(9,AY9:AY18)</f>
        <v>14635</v>
      </c>
      <c r="AZ19" s="134">
        <f>SUBTOTAL(9,AZ9:AZ18)</f>
        <v>6847</v>
      </c>
      <c r="BA19" s="134">
        <f>SUBTOTAL(9,BA9:BA18)</f>
        <v>6366</v>
      </c>
      <c r="BB19" s="134">
        <f>SUBTOTAL(9,BB9:BB18)</f>
        <v>14777</v>
      </c>
      <c r="BC19" s="135">
        <f>SUBTOTAL(9,BC9:BC18)</f>
        <v>2108</v>
      </c>
      <c r="BD19" s="213">
        <f>IF(ISNUMBER(BA19/AZ19),BA19/AZ19," - ")</f>
        <v>0.92975025558638824</v>
      </c>
      <c r="BE19" s="210">
        <f>IF(ISNUMBER(BB19/BA19),BB19/BA19, " - ")</f>
        <v>2.3212378259503614</v>
      </c>
      <c r="BF19" s="210">
        <f>IF(ISNUMBER(BC19/BA19),BC19/BA19, " - ")</f>
        <v>0.33113415017279296</v>
      </c>
      <c r="BG19" s="135">
        <f>IF(ISNUMBER((AY19+AZ19)/BA19),(AY19+AZ19)/BA19," - ")</f>
        <v>3.3744894753377319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0BCc/70XYG3jJRhljhgS6GliGPDmP7fH1/AKfzq4jBEGnnwejq7B0CNLaLnv2K4mXvxVOXlfR+lM1Y/fjUCdQ==" saltValue="0J3BF6mMElA8GmgWD/Gr4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32qCAeAWo8Cwhy449gNNbSoPBXkHt52QplZbQY7Dub12ZdGL9ksOMalkwwjRW+XZ2ggSoVN5Vg9S/j50NNuKw==" saltValue="++Jw/OVgKh7AEQZNgN3hq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85</v>
      </c>
      <c r="O9" s="334"/>
      <c r="P9" s="334"/>
      <c r="Q9" s="226">
        <f>IF(ISNUMBER(Datos!P9),Datos!P9,0)</f>
        <v>353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295</v>
      </c>
      <c r="AI9" s="334" t="str">
        <f>IF(ISNUMBER(Datos!CD9),Datos!CD9,"-")</f>
        <v>-</v>
      </c>
      <c r="AJ9" s="334" t="str">
        <f>IF(ISNUMBER(Datos!EN9),Datos!EN9," - ")</f>
        <v xml:space="preserve"> - </v>
      </c>
      <c r="AK9" s="334"/>
      <c r="AL9" s="479"/>
      <c r="AM9" s="335">
        <f>IF(ISNUMBER(Datos!R9),Datos!R9," - ")</f>
        <v>10671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687</v>
      </c>
      <c r="BD9" s="229">
        <f>IF(ISNUMBER(Datos!N9),Datos!N9," - ")</f>
        <v>2667</v>
      </c>
      <c r="BE9" s="229" t="str">
        <f>IF(ISNUMBER(Datos!BW9),Datos!BW9," - ")</f>
        <v xml:space="preserve"> - </v>
      </c>
      <c r="BF9" s="228" t="str">
        <f>IF(ISNUMBER(Datos!BX9),Datos!BX9," - ")</f>
        <v xml:space="preserve"> - </v>
      </c>
      <c r="BG9" s="243">
        <f>IF(ISNUMBER(IF(J_V="SI",Datos!K9/Datos!J9,(Datos!K9+Datos!AA9)/(Datos!J9+Datos!Z9))),IF(J_V="SI",Datos!K9/Datos!J9,(Datos!K9+Datos!AA9)/(Datos!J9+Datos!Z9))," - ")</f>
        <v>0.63848255907410389</v>
      </c>
      <c r="BH9" s="260">
        <f>IF(ISNUMBER(((IF(J_V="SI",Datos!L9/Datos!K9,(Datos!L9+Datos!AB9)/(Datos!K9+Datos!AA9)))*11)/factor_trimestre),((IF(J_V="SI",Datos!L9/Datos!K9,(Datos!L9+Datos!AB9)/(Datos!K9+Datos!AA9)))*11)/factor_trimestre," - ")</f>
        <v>12.463746223564955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2.9135338345864662E-3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2</v>
      </c>
      <c r="AD10" s="334"/>
      <c r="AE10" s="484"/>
      <c r="AF10" s="332">
        <f>IF(ISNUMBER(Datos!L10),Datos!L10,"-")</f>
        <v>92</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4</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10.222222222222223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-1.9607843137254902E-2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-7.575757575757576E-3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85</v>
      </c>
      <c r="O13" s="900">
        <f t="shared" si="0"/>
        <v>0</v>
      </c>
      <c r="P13" s="900">
        <f t="shared" si="0"/>
        <v>0</v>
      </c>
      <c r="Q13" s="899">
        <f t="shared" si="0"/>
        <v>354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328</v>
      </c>
      <c r="AD13" s="899">
        <f t="shared" si="1"/>
        <v>0</v>
      </c>
      <c r="AE13" s="899">
        <f t="shared" si="1"/>
        <v>0</v>
      </c>
      <c r="AF13" s="899">
        <f t="shared" si="1"/>
        <v>92</v>
      </c>
      <c r="AG13" s="899">
        <f t="shared" si="1"/>
        <v>0</v>
      </c>
      <c r="AH13" s="899">
        <f t="shared" si="1"/>
        <v>295</v>
      </c>
      <c r="AI13" s="899">
        <f t="shared" si="1"/>
        <v>0</v>
      </c>
      <c r="AJ13" s="899">
        <f t="shared" si="1"/>
        <v>0</v>
      </c>
      <c r="AK13" s="899">
        <f t="shared" si="1"/>
        <v>0</v>
      </c>
      <c r="AL13" s="899">
        <f t="shared" si="1"/>
        <v>0</v>
      </c>
      <c r="AM13" s="899">
        <f t="shared" si="1"/>
        <v>11245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704</v>
      </c>
      <c r="BD13" s="899">
        <f t="shared" si="1"/>
        <v>2671</v>
      </c>
      <c r="BE13" s="899">
        <f t="shared" si="1"/>
        <v>0</v>
      </c>
      <c r="BF13" s="899">
        <f t="shared" si="1"/>
        <v>0</v>
      </c>
      <c r="BG13" s="899">
        <f>IF(ISNUMBER(Datos!K13/Datos!J13),Datos!K13/Datos!J13," - ")</f>
        <v>0.63431626701231369</v>
      </c>
      <c r="BH13" s="903">
        <f>IF(ISNUMBER(((Datos!L13/Datos!K13)*11)/factor_trimestre),((Datos!L13/Datos!K13)*11)/factor_trimestre," - ")</f>
        <v>12.489655172413794</v>
      </c>
      <c r="BI13" s="899">
        <f>IF(ISNUMBER('Resol  Asuntos'!D13/NºAsuntos!G13),'Resol  Asuntos'!D13/NºAsuntos!G13," - ")</f>
        <v>0.17604401100275069</v>
      </c>
      <c r="BJ13" s="899" t="str">
        <f>IF(ISNUMBER(Datos!CI13/Datos!CJ13),Datos!CI13/Datos!CJ13," - ")</f>
        <v xml:space="preserve"> - </v>
      </c>
      <c r="BK13" s="899">
        <f>SUBTOTAL(9,BK8:BK12)</f>
        <v>0</v>
      </c>
      <c r="BL13" s="899">
        <f>IF(ISNUMBER((I13-AB13+L13)/(F13)),(I13-AB13+L13)/(F13)," - ")</f>
        <v>-0.3253012048192771</v>
      </c>
      <c r="BM13" s="904">
        <f>SUBTOTAL(9,BM9:BM12)</f>
        <v>-2.4270066878426012E-2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2582</v>
      </c>
      <c r="G15" s="598">
        <f>IF(ISNUMBER(IF(D_I="SI",Datos!I15,Datos!I15+Datos!AC15)),IF(D_I="SI",Datos!I15,Datos!I15+Datos!AC15)," - ")</f>
        <v>2554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3013</v>
      </c>
      <c r="AC15" s="226">
        <f>IF(ISNUMBER(Datos!Q15),Datos!Q15," - ")</f>
        <v>56</v>
      </c>
      <c r="AD15" s="334"/>
      <c r="AE15" s="484"/>
      <c r="AF15" s="596">
        <f>IF(ISNUMBER(IF(D_I="SI",Datos!L15,Datos!L15+Datos!AF15)),IF(D_I="SI",Datos!L15,Datos!L15+Datos!AF15)," - ")</f>
        <v>2482</v>
      </c>
      <c r="AG15" s="334"/>
      <c r="AH15" s="334"/>
      <c r="AI15" s="334"/>
      <c r="AJ15" s="334"/>
      <c r="AK15" s="334"/>
      <c r="AL15" s="479"/>
      <c r="AM15" s="335">
        <f>IF(ISNUMBER(Datos!R15),Datos!R15," - ")</f>
        <v>612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359</v>
      </c>
      <c r="BD15" s="229">
        <f>IF(ISNUMBER(Datos!N15),Datos!N15," - ")</f>
        <v>2132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1.0343288705801579</v>
      </c>
      <c r="BH15" s="260">
        <f>IF(ISNUMBER(((IF(D_I="SI",Datos!L15/Datos!K15,(Datos!L15+Datos!AF15)/(Datos!K15+Datos!AE15)))*11)/factor_trimestre),((IF(D_I="SI",Datos!L15/Datos!K15,(Datos!L15+Datos!AF15)/(Datos!K15+Datos!AE15)))*11)/factor_trimestre," - ")</f>
        <v>2.4712910720212413</v>
      </c>
      <c r="BI15" s="243">
        <f>IF(ISNUMBER('Resol  Asuntos'!D15/NºAsuntos!G15),'Resol  Asuntos'!D15/NºAsuntos!G15," - ")</f>
        <v>0.1191503484898772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7</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4</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2.25</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230</v>
      </c>
      <c r="AC17" s="226">
        <f>IF(ISNUMBER(Datos!Q17),Datos!Q17," - ")</f>
        <v>1</v>
      </c>
      <c r="AD17" s="334"/>
      <c r="AE17" s="484"/>
      <c r="AF17" s="332">
        <f>IF(ISNUMBER(Datos!L17),Datos!L17,"-")</f>
        <v>239</v>
      </c>
      <c r="AG17" s="334"/>
      <c r="AH17" s="334"/>
      <c r="AI17" s="334"/>
      <c r="AJ17" s="334"/>
      <c r="AK17" s="334"/>
      <c r="AL17" s="479"/>
      <c r="AM17" s="335">
        <f>IF(ISNUMBER(Datos!R17),Datos!R17," - ")</f>
        <v>35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52</v>
      </c>
      <c r="BD17" s="229">
        <f>IF(ISNUMBER(Datos!N17),Datos!N17," - ")</f>
        <v>133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3.1173913043478265</v>
      </c>
      <c r="BI17" s="243">
        <f>IF(ISNUMBER('Resol  Asuntos'!D17/NºAsuntos!G17),'Resol  Asuntos'!D17/NºAsuntos!G17," - ")</f>
        <v>0.22608695652173913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2589</v>
      </c>
      <c r="G18" s="898">
        <f>SUBTOTAL(9,G15:G17)</f>
        <v>2754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3247</v>
      </c>
      <c r="AC18" s="899">
        <f t="shared" si="4"/>
        <v>57</v>
      </c>
      <c r="AD18" s="899">
        <f t="shared" si="4"/>
        <v>0</v>
      </c>
      <c r="AE18" s="899">
        <f t="shared" si="4"/>
        <v>0</v>
      </c>
      <c r="AF18" s="899">
        <f t="shared" si="4"/>
        <v>2724</v>
      </c>
      <c r="AG18" s="899">
        <f t="shared" si="4"/>
        <v>0</v>
      </c>
      <c r="AH18" s="899">
        <f t="shared" si="4"/>
        <v>0</v>
      </c>
      <c r="AI18" s="899">
        <f t="shared" si="4"/>
        <v>0</v>
      </c>
      <c r="AJ18" s="899">
        <f t="shared" si="4"/>
        <v>0</v>
      </c>
      <c r="AK18" s="899">
        <f t="shared" si="4"/>
        <v>0</v>
      </c>
      <c r="AL18" s="899">
        <f t="shared" si="4"/>
        <v>0</v>
      </c>
      <c r="AM18" s="899">
        <f t="shared" si="4"/>
        <v>647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411</v>
      </c>
      <c r="BD18" s="899">
        <f t="shared" si="4"/>
        <v>2269</v>
      </c>
      <c r="BE18" s="899">
        <f t="shared" si="4"/>
        <v>0</v>
      </c>
      <c r="BF18" s="899">
        <f t="shared" si="4"/>
        <v>0</v>
      </c>
      <c r="BG18" s="899">
        <f>IF(ISNUMBER(Datos!K18/Datos!J18),Datos!K18/Datos!J18," - ")</f>
        <v>1.0181875195986203</v>
      </c>
      <c r="BH18" s="903">
        <f>IF(ISNUMBER(((Datos!L18/Datos!K18)*11)/factor_trimestre),((Datos!L18/Datos!K18)*11)/factor_trimestre," - ")</f>
        <v>2.5167847243609485</v>
      </c>
      <c r="BI18" s="899">
        <f>SUBTOTAL(9,BI15:BI17)</f>
        <v>0.34523730501161631</v>
      </c>
      <c r="BJ18" s="899">
        <f>SUBTOTAL(9,BJ15:BJ17)</f>
        <v>0</v>
      </c>
      <c r="BK18" s="899">
        <f>SUBTOTAL(9,BK15:BK17)</f>
        <v>0</v>
      </c>
      <c r="BL18" s="899">
        <f>IF(ISNUMBER((I18-AB18+L18)/(F18)),(I18-AB18+L18)/(F18)," - ")</f>
        <v>-1.2541521823097721</v>
      </c>
      <c r="BM18" s="905">
        <f>IF(ISNUMBER((Datos!P18-Datos!Q18)/(Datos!R18-Datos!P18+Datos!Q18)),(Datos!P18-Datos!Q18)/(Datos!R18-Datos!P18+Datos!Q18)," - ")</f>
        <v>5.5464926590538338E-2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2672</v>
      </c>
      <c r="G19" s="820">
        <f t="shared" si="6"/>
        <v>2837</v>
      </c>
      <c r="H19" s="822">
        <f t="shared" si="6"/>
        <v>0</v>
      </c>
      <c r="I19" s="820">
        <f t="shared" si="6"/>
        <v>0</v>
      </c>
      <c r="J19" s="822">
        <f t="shared" si="6"/>
        <v>0</v>
      </c>
      <c r="K19" s="822">
        <f t="shared" si="6"/>
        <v>0</v>
      </c>
      <c r="L19" s="881">
        <f t="shared" si="6"/>
        <v>0</v>
      </c>
      <c r="M19" s="881">
        <f t="shared" si="6"/>
        <v>0</v>
      </c>
      <c r="N19" s="881">
        <f t="shared" si="6"/>
        <v>85</v>
      </c>
      <c r="O19" s="881">
        <f t="shared" si="6"/>
        <v>0</v>
      </c>
      <c r="P19" s="881">
        <f t="shared" si="6"/>
        <v>0</v>
      </c>
      <c r="Q19" s="822">
        <f t="shared" si="6"/>
        <v>445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3274</v>
      </c>
      <c r="AC19" s="821">
        <f t="shared" si="7"/>
        <v>385</v>
      </c>
      <c r="AD19" s="821">
        <f t="shared" si="7"/>
        <v>0</v>
      </c>
      <c r="AE19" s="821">
        <f t="shared" si="7"/>
        <v>0</v>
      </c>
      <c r="AF19" s="828">
        <f t="shared" si="7"/>
        <v>2816</v>
      </c>
      <c r="AG19" s="828">
        <f t="shared" si="7"/>
        <v>0</v>
      </c>
      <c r="AH19" s="828">
        <f t="shared" si="7"/>
        <v>295</v>
      </c>
      <c r="AI19" s="828">
        <f t="shared" si="7"/>
        <v>0</v>
      </c>
      <c r="AJ19" s="821">
        <f t="shared" si="7"/>
        <v>0</v>
      </c>
      <c r="AK19" s="828">
        <f t="shared" si="7"/>
        <v>0</v>
      </c>
      <c r="AL19" s="828">
        <f t="shared" si="7"/>
        <v>0</v>
      </c>
      <c r="AM19" s="828">
        <f t="shared" si="7"/>
        <v>11892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1115</v>
      </c>
      <c r="BD19" s="820">
        <f t="shared" si="7"/>
        <v>4940</v>
      </c>
      <c r="BE19" s="820">
        <f t="shared" si="7"/>
        <v>0</v>
      </c>
      <c r="BF19" s="830">
        <f t="shared" si="7"/>
        <v>0</v>
      </c>
      <c r="BG19" s="915">
        <f>IF(ISNUMBER(Datos!K19/Datos!J19),Datos!K19/Datos!J19," - ")</f>
        <v>0.76508919987180857</v>
      </c>
      <c r="BH19" s="915">
        <f>IF(ISNUMBER(((Datos!L19/Datos!K19)*11)/factor_trimestre),((Datos!L19/Datos!K19)*11)/factor_trimestre," - ")</f>
        <v>7.9683049427534209</v>
      </c>
      <c r="BI19" s="813">
        <f>IF(ISNUMBER(Datos!J19/Datos!I19),Datos!J19/Datos!I19," - ")</f>
        <v>0.55730189914865746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-1.2252994011976048</v>
      </c>
      <c r="BM19" s="889">
        <f>IF(ISNUMBER((Datos!P19-Datos!Q19+R19)/(Datos!R19-Datos!P19+Datos!Q19-R19)),(Datos!P19-Datos!Q19+R19)/(Datos!R19-Datos!P19+Datos!Q19-R19)," - ")</f>
        <v>5.0709939148073022E-3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945.66666666666663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1384.9011517072256</v>
      </c>
      <c r="G21" s="552">
        <f>IF(ISNUMBER(STDEV(G8:G18)),STDEV(G8:G18),"-")</f>
        <v>1326.0788312414411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1583.0035586399251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303.96604603616032</v>
      </c>
      <c r="BD21" s="551"/>
      <c r="BE21" s="551">
        <f>IF(ISNUMBER(STDEV(BE8:BE18)),STDEV(BE8:BE18),"-")</f>
        <v>0</v>
      </c>
      <c r="BF21" s="556">
        <f>IF(ISNUMBER(STDEV(BF8:BF18)),STDEV(BF8:BF18),"-")</f>
        <v>0</v>
      </c>
      <c r="BG21" s="775">
        <f>IF(ISNUMBER(STDEV(BG8:BG18)),STDEV(BG8:BG18),"-")</f>
        <v>0.17759419451026837</v>
      </c>
      <c r="BH21" s="776">
        <f>IF(ISNUMBER(STDEV(BH8:BH18)),STDEV(BH8:BH18),"-")</f>
        <v>4.9480312487404996</v>
      </c>
      <c r="BI21" s="249">
        <f>IF(ISNUMBER(STDEV(BI8:BI18)),STDEV(BI8:BI18),"-")</f>
        <v>0.12779035949474829</v>
      </c>
      <c r="BJ21" s="230" t="str">
        <f>IF(ISNUMBER(BL21/BM21),BL21/BM21," - ")</f>
        <v xml:space="preserve"> - </v>
      </c>
      <c r="BK21" s="575"/>
      <c r="BL21" s="559">
        <f>IF(ISNUMBER(STDEV(BL8:BL18)),STDEV(BL8:BL18),"-")</f>
        <v>0.65679682489528213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DGcAZ6bKXPcUwSqdbVJjvgpmofmuSQ75RVvzEm/kf6PsGEZ0Zr9SfUzXLCaArKknUuxyXmIkNnXqUiJ2PRgYA==" saltValue="IzOCn8DVFdDirzcOe9024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 BARTOLOME DE TIRAJANA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353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322</v>
      </c>
      <c r="AA9" s="332" t="str">
        <f>IF(ISNUMBER(IF(J_V="SI",Datos!L9,Datos!L9+Datos!AB9)-IF(Monitorios="SI",Datos!CD9,0)),
                          IF(J_V="SI",Datos!L9,Datos!L9+Datos!AB9)-IF(Monitorios="SI",Datos!CD9,0),
                          " - ")</f>
        <v xml:space="preserve"> - </v>
      </c>
      <c r="AB9" s="334"/>
      <c r="AC9" s="334"/>
      <c r="AD9" s="484"/>
      <c r="AE9" s="484">
        <f>IF(ISNUMBER(Datos!R9),Datos!R9," - ")</f>
        <v>10671</v>
      </c>
      <c r="AF9" s="229" t="str">
        <f>IF(ISNUMBER(Datos!BV9),Datos!BV9," - ")</f>
        <v xml:space="preserve"> - </v>
      </c>
      <c r="AG9" s="225" t="str">
        <f>IF(ISNUMBER(Datos!DV9),Datos!DV9," - ")</f>
        <v xml:space="preserve"> - </v>
      </c>
      <c r="AH9" s="298"/>
      <c r="AI9" s="227"/>
      <c r="AJ9" s="225">
        <f>IF(ISNUMBER(Datos!M9),Datos!M9," - ")</f>
        <v>687</v>
      </c>
      <c r="AK9" s="229">
        <f>IF(ISNUMBER(Datos!N9),Datos!N9," - ")</f>
        <v>2667</v>
      </c>
      <c r="AL9" s="229" t="str">
        <f>IF(ISNUMBER(Datos!BW9),Datos!BW9," - ")</f>
        <v xml:space="preserve"> - </v>
      </c>
      <c r="AM9" s="228" t="str">
        <f>IF(ISNUMBER(Datos!BX9),Datos!BX9," - ")</f>
        <v xml:space="preserve"> - </v>
      </c>
      <c r="AN9" s="243"/>
      <c r="AO9" s="260">
        <f>IF(ISNUMBER(((NºAsuntos!I9/NºAsuntos!G9)*11)/factor_trimestre),((NºAsuntos!I9/NºAsuntos!G9)*11)/factor_trimestre," - ")</f>
        <v>12.463746223564955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2.9135338345864662E-3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2</v>
      </c>
      <c r="AA10" s="332">
        <f>IF(ISNUMBER(Datos!L10),Datos!L10,"-")</f>
        <v>92</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17</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10.222222222222223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-1.9607843137254902E-2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524</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-7.575757575757576E-3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354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328</v>
      </c>
      <c r="AA13" s="900">
        <f t="shared" si="2"/>
        <v>92</v>
      </c>
      <c r="AB13" s="900">
        <f t="shared" si="2"/>
        <v>0</v>
      </c>
      <c r="AC13" s="900">
        <f t="shared" si="2"/>
        <v>0</v>
      </c>
      <c r="AD13" s="900">
        <f t="shared" si="2"/>
        <v>0</v>
      </c>
      <c r="AE13" s="900">
        <f t="shared" si="2"/>
        <v>11245</v>
      </c>
      <c r="AF13" s="908">
        <f t="shared" si="2"/>
        <v>0</v>
      </c>
      <c r="AG13" s="908">
        <f t="shared" si="2"/>
        <v>0</v>
      </c>
      <c r="AH13" s="908">
        <f t="shared" si="2"/>
        <v>0</v>
      </c>
      <c r="AI13" s="908">
        <f t="shared" si="2"/>
        <v>0</v>
      </c>
      <c r="AJ13" s="908">
        <f t="shared" si="2"/>
        <v>704</v>
      </c>
      <c r="AK13" s="908">
        <f t="shared" si="2"/>
        <v>2671</v>
      </c>
      <c r="AL13" s="908">
        <f t="shared" si="2"/>
        <v>0</v>
      </c>
      <c r="AM13" s="908">
        <f t="shared" si="2"/>
        <v>0</v>
      </c>
      <c r="AN13" s="908">
        <f t="shared" si="2"/>
        <v>0</v>
      </c>
      <c r="AO13" s="904">
        <f>IF(ISNUMBER(((NºAsuntos!I13/NºAsuntos!G13)*11)/factor_trimestre),((NºAsuntos!I13/NºAsuntos!G13)*11)/factor_trimestre," - ")</f>
        <v>12.448612153038258</v>
      </c>
      <c r="AP13" s="910" t="str">
        <f>IF(ISNUMBER(Datos!CI13/Datos!CJ13),Datos!CI13/Datos!CJ13," - ")</f>
        <v xml:space="preserve"> - </v>
      </c>
      <c r="AQ13" s="928">
        <f t="shared" ref="AQ13:AV13" si="3">SUBTOTAL(9,AQ9:AQ12)</f>
        <v>0</v>
      </c>
      <c r="AR13" s="928">
        <f t="shared" si="3"/>
        <v>-2.4270066878426012E-2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2582</v>
      </c>
      <c r="G15" s="225">
        <f>IF(ISNUMBER(IF(D_I="SI",Datos!I15,Datos!I15+Datos!AC15)),IF(D_I="SI",Datos!I15,Datos!I15+Datos!AC15)," - ")</f>
        <v>2554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3013</v>
      </c>
      <c r="Z15" s="619">
        <f>IF(ISNUMBER(Datos!Q15),Datos!Q15," - ")</f>
        <v>56</v>
      </c>
      <c r="AA15" s="332">
        <f>IF(ISNUMBER(IF(D_I="SI",Datos!L15,Datos!L15+Datos!AF15)),IF(D_I="SI",Datos!L15,Datos!L15+Datos!AF15)," - ")</f>
        <v>2482</v>
      </c>
      <c r="AB15" s="334"/>
      <c r="AC15" s="334"/>
      <c r="AD15" s="484"/>
      <c r="AE15" s="484">
        <f>IF(ISNUMBER(Datos!R15),Datos!R15," - ")</f>
        <v>612</v>
      </c>
      <c r="AF15" s="229" t="str">
        <f>IF(ISNUMBER(Datos!BV15),Datos!BV15," - ")</f>
        <v xml:space="preserve"> - </v>
      </c>
      <c r="AG15" s="225"/>
      <c r="AH15" s="298"/>
      <c r="AI15" s="227"/>
      <c r="AJ15" s="225">
        <f>IF(ISNUMBER(Datos!M15),Datos!M15," - ")</f>
        <v>359</v>
      </c>
      <c r="AK15" s="229">
        <f>IF(ISNUMBER(Datos!N15),Datos!N15," - ")</f>
        <v>2132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2.4712910720212413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7</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v>
      </c>
      <c r="Z16" s="619">
        <f>IF(ISNUMBER(Datos!Q16),Datos!Q16," - ")</f>
        <v>0</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230</v>
      </c>
      <c r="Z17" s="619">
        <f>IF(ISNUMBER(Datos!Q17),Datos!Q17," - ")</f>
        <v>1</v>
      </c>
      <c r="AA17" s="332">
        <f>IF(ISNUMBER(Datos!L17),Datos!L17,"-")</f>
        <v>239</v>
      </c>
      <c r="AB17" s="334"/>
      <c r="AC17" s="334"/>
      <c r="AD17" s="484"/>
      <c r="AE17" s="484">
        <f>IF(ISNUMBER(Datos!R17),Datos!R17," - ")</f>
        <v>35</v>
      </c>
      <c r="AF17" s="229" t="str">
        <f>IF(ISNUMBER(Datos!BV17),Datos!BV17," - ")</f>
        <v xml:space="preserve"> - </v>
      </c>
      <c r="AG17" s="225" t="str">
        <f>IF(ISNUMBER(Datos!DV17),Datos!DV17," - ")</f>
        <v xml:space="preserve"> - </v>
      </c>
      <c r="AH17" s="298"/>
      <c r="AI17" s="227"/>
      <c r="AJ17" s="225">
        <f>IF(ISNUMBER(Datos!M17),Datos!M17," - ")</f>
        <v>52</v>
      </c>
      <c r="AK17" s="229">
        <f>IF(ISNUMBER(Datos!N17),Datos!N17," - ")</f>
        <v>133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3.1173913043478265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2589</v>
      </c>
      <c r="G18" s="898">
        <f>SUBTOTAL(9,G15:G17)</f>
        <v>2754</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3247</v>
      </c>
      <c r="Z18" s="932">
        <f t="shared" si="5"/>
        <v>57</v>
      </c>
      <c r="AA18" s="932">
        <f t="shared" si="5"/>
        <v>2724</v>
      </c>
      <c r="AB18" s="932">
        <f t="shared" si="5"/>
        <v>0</v>
      </c>
      <c r="AC18" s="932">
        <f t="shared" si="5"/>
        <v>0</v>
      </c>
      <c r="AD18" s="932">
        <f t="shared" si="5"/>
        <v>0</v>
      </c>
      <c r="AE18" s="932">
        <f t="shared" si="5"/>
        <v>647</v>
      </c>
      <c r="AF18" s="932">
        <f t="shared" si="5"/>
        <v>0</v>
      </c>
      <c r="AG18" s="932">
        <f t="shared" si="5"/>
        <v>0</v>
      </c>
      <c r="AH18" s="932">
        <f t="shared" si="5"/>
        <v>0</v>
      </c>
      <c r="AI18" s="932">
        <f t="shared" si="5"/>
        <v>0</v>
      </c>
      <c r="AJ18" s="932">
        <f t="shared" si="5"/>
        <v>411</v>
      </c>
      <c r="AK18" s="932">
        <f t="shared" si="5"/>
        <v>2269</v>
      </c>
      <c r="AL18" s="932">
        <f t="shared" si="5"/>
        <v>0</v>
      </c>
      <c r="AM18" s="932">
        <f t="shared" si="5"/>
        <v>0</v>
      </c>
      <c r="AN18" s="932">
        <f t="shared" si="5"/>
        <v>0</v>
      </c>
      <c r="AO18" s="934">
        <f>IF(ISNUMBER(((NºAsuntos!I18/NºAsuntos!G18)*11)/factor_trimestre),((NºAsuntos!I18/NºAsuntos!G18)*11)/factor_trimestre," - ")</f>
        <v>2.5167847243609485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2672</v>
      </c>
      <c r="G19" s="820">
        <f t="shared" si="7"/>
        <v>2837</v>
      </c>
      <c r="H19" s="821">
        <f t="shared" si="7"/>
        <v>0</v>
      </c>
      <c r="I19" s="820">
        <f t="shared" si="7"/>
        <v>0</v>
      </c>
      <c r="J19" s="822">
        <f t="shared" si="7"/>
        <v>0</v>
      </c>
      <c r="K19" s="820">
        <f t="shared" si="7"/>
        <v>0</v>
      </c>
      <c r="L19" s="823">
        <f t="shared" si="7"/>
        <v>0</v>
      </c>
      <c r="M19" s="820">
        <f t="shared" si="7"/>
        <v>0</v>
      </c>
      <c r="N19" s="821">
        <f t="shared" si="7"/>
        <v>445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3274</v>
      </c>
      <c r="Z19" s="827">
        <f t="shared" si="8"/>
        <v>385</v>
      </c>
      <c r="AA19" s="828">
        <f t="shared" si="8"/>
        <v>2816</v>
      </c>
      <c r="AB19" s="828">
        <f t="shared" si="8"/>
        <v>0</v>
      </c>
      <c r="AC19" s="828">
        <f t="shared" si="8"/>
        <v>0</v>
      </c>
      <c r="AD19" s="829">
        <f t="shared" si="8"/>
        <v>0</v>
      </c>
      <c r="AE19" s="829">
        <f t="shared" si="8"/>
        <v>11892</v>
      </c>
      <c r="AF19" s="830">
        <f t="shared" si="8"/>
        <v>0</v>
      </c>
      <c r="AG19" s="831">
        <f t="shared" si="8"/>
        <v>0</v>
      </c>
      <c r="AH19" s="832">
        <f t="shared" si="8"/>
        <v>0</v>
      </c>
      <c r="AI19" s="830">
        <f t="shared" si="8"/>
        <v>0</v>
      </c>
      <c r="AJ19" s="820">
        <f t="shared" si="8"/>
        <v>1115</v>
      </c>
      <c r="AK19" s="820">
        <f t="shared" si="8"/>
        <v>4940</v>
      </c>
      <c r="AL19" s="820">
        <f t="shared" si="8"/>
        <v>0</v>
      </c>
      <c r="AM19" s="833">
        <f t="shared" si="8"/>
        <v>0</v>
      </c>
      <c r="AN19" s="823">
        <f>IF(ISNUMBER(Datos!K19/Datos!J19),Datos!K19/Datos!J19," - ")</f>
        <v>0.76508919987180857</v>
      </c>
      <c r="AO19" s="823">
        <f>IF(ISNUMBER(FIND("06",Criterios!A8,1)),(IF(ISNUMBER(((Datos!R19/Datos!Q19)*11)/factor_trimestre),((Datos!R19/Datos!Q19)*11)/factor_trimestre," - ")),(IF(ISNUMBER(((Datos!L19/Datos!K19)*11)/factor_trimestre),((Datos!L19/Datos!K19)*11)/factor_trimestre," - ")))</f>
        <v>7.9683049427534209</v>
      </c>
      <c r="AP19" s="834" t="str">
        <f>IF(ISNUMBER(Datos!CI19/Datos!CJ19),Datos!CI19/Datos!CJ19," - ")</f>
        <v xml:space="preserve"> - </v>
      </c>
      <c r="AQ19" s="834">
        <f>IF(OR(ISNUMBER(FIND("01",Criterios!A8,1)),ISNUMBER(FIND("02",Criterios!A8,1)),ISNUMBER(FIND("03",Criterios!A8,1)),ISNUMBER(FIND("04",Criterios!A8,1))),(J19-Y19+K19)/(F19-K19),(I19-Y19+K19)/(F19-K19))</f>
        <v>-1.2252994011976048</v>
      </c>
      <c r="AR19" s="834">
        <f>IF(ISNUMBER((Datos!P19-Datos!Q19+O19)/(Datos!R19-Datos!P19+Datos!Q19-O19)),(Datos!P19-Datos!Q19+O19)/(Datos!R19-Datos!P19+Datos!Q19-O19)," - ")</f>
        <v>5.0709939148073022E-3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945.66666666666663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1384.9011517072256</v>
      </c>
      <c r="G21" s="552">
        <f>IF(ISNUMBER(STDEV(G8:G18)),STDEV(G8:G18),"-")</f>
        <v>1326.0788312414411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303.96604603616032</v>
      </c>
      <c r="AK21" s="252"/>
      <c r="AL21" s="252">
        <f>IF(ISNUMBER(STDEV(AL8:AL18)),STDEV(AL8:AL18),"-")</f>
        <v>0</v>
      </c>
      <c r="AM21" s="254">
        <f>IF(ISNUMBER(STDEV(AM8:AM18)),STDEV(AM8:AM18),"-")</f>
        <v>0</v>
      </c>
      <c r="AN21" s="539">
        <f>IF(ISNUMBER(STDEV(AN8:AN18)),STDEV(AN8:AN18),"-")</f>
        <v>0</v>
      </c>
      <c r="AO21" s="540">
        <f>IF(ISNUMBER(STDEV(AO8:AO18)),STDEV(AO8:AO18),"-")</f>
        <v>4.9397743004205417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sX8y4+9Z5VP9F7dS02vy1xuEG88nRNmLb63o352+HtUSQrGmZU0eXP9Tq9s1QAHieJAn2Zub+PhpO5YwmMGrA==" saltValue="BmnkirqN6G6dOEsiimjX+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rB1NYBqY0kaTymwmu7YPnuwpF2Gba5EWjIQIzkX3AhbfNwm+aAk1eSDCEr4ZauosOPQs5BhFiQ5AS3vYciYGw==" saltValue="mePGVFFCmUCYIjA3bu+2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hLEpafPp0Vrysjm6c5tzVy1XUXtUVjjUtIrFoEBgPdd/dwAHiiA5GhmVLm2A+b132soGewr7adxms6lyXnOqA==" saltValue="VS7VvNpNUSWKVDnYjwYud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0.17604401100275069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0.12448191396732419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W028nt5vSPjwr41ENO/oVOdFZt138yes1NtfS5UHYUUvbh4r6lt1AC81XPh23+jwNblRPcj+aJO6xZGb+bN+g==" saltValue="nBVZ/dk2x/U1WUiGASImM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QsMlLqNz7Z5HPK6+DWazrgUiP1nYEgH9xGQNd0giw+90mkegixxhY8i4pB6JTT3dLOLqa1ORUAs4aknaRdkoAw==" saltValue="RpKl/Ag1W2OkSTdBr1ny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 BARTOLOME DE TIRAJANA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14264</v>
      </c>
      <c r="D9" s="404">
        <f>IF(ISNUMBER(C9/Datos!BH9),C9/Datos!BH9," - ")</f>
        <v>2852.8</v>
      </c>
      <c r="E9" s="403">
        <f>IF(ISNUMBER(IF(J_V="SI",Datos!J9,Datos!J9+Datos!Z9)),IF(J_V="SI",Datos!J9,Datos!J9+Datos!Z9)," - ")</f>
        <v>6221</v>
      </c>
      <c r="F9" s="404">
        <f>IF(ISNUMBER(E9/B9),E9/B9," - ")</f>
        <v>1036.8333333333333</v>
      </c>
      <c r="G9" s="403">
        <f>IF(ISNUMBER(IF(J_V="SI",Datos!K9,Datos!K9+Datos!AA9)),IF(J_V="SI",Datos!K9,Datos!K9+Datos!AA9)," - ")</f>
        <v>3972</v>
      </c>
      <c r="H9" s="404">
        <f>IF(ISNUMBER(G9/B9),G9/B9," - ")</f>
        <v>662</v>
      </c>
      <c r="I9" s="403">
        <f>IF(ISNUMBER(IF(J_V="SI",Datos!L9,Datos!L9+Datos!AB9)),IF(J_V="SI",Datos!L9,Datos!L9+Datos!AB9)," - ")</f>
        <v>16502</v>
      </c>
      <c r="J9" s="404">
        <f>IF(ISNUMBER(I9/B9),I9/B9," - ")</f>
        <v>2750.3333333333335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36</v>
      </c>
      <c r="F10" s="404">
        <f>IF(ISNUMBER(E10/B10),E10/B10," - ")</f>
        <v>36</v>
      </c>
      <c r="G10" s="403">
        <f>IF(ISNUMBER(Datos!K10),Datos!K10," - ")</f>
        <v>27</v>
      </c>
      <c r="H10" s="404">
        <f>IF(ISNUMBER(G10/B10),G10/B10," - ")</f>
        <v>27</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14347</v>
      </c>
      <c r="D13" s="850" t="str">
        <f>IF(ISNUMBER(C13/Datos!BI13),C13/Datos!BI13," - ")</f>
        <v xml:space="preserve"> - </v>
      </c>
      <c r="E13" s="849">
        <f>SUBTOTAL(9,E8:E12)</f>
        <v>6257</v>
      </c>
      <c r="F13" s="850">
        <f>IF(ISNUMBER(E13/B13),E13/B13," - ")</f>
        <v>893.85714285714289</v>
      </c>
      <c r="G13" s="849">
        <f>SUBTOTAL(9,G8:G12)</f>
        <v>3999</v>
      </c>
      <c r="H13" s="850">
        <f>IF(ISNUMBER(G13/B13),G13/B13," - ")</f>
        <v>571.28571428571433</v>
      </c>
      <c r="I13" s="849">
        <f>SUBTOTAL(9,I8:I12)</f>
        <v>16594</v>
      </c>
      <c r="J13" s="850">
        <f>IF(ISNUMBER(I13/B13),I13/B13," - ")</f>
        <v>2370.5714285714284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2554</v>
      </c>
      <c r="D15" s="404">
        <f>IF(ISNUMBER(C15/Datos!BH15),C15/Datos!BH15," - ")</f>
        <v>851.33333333333337</v>
      </c>
      <c r="E15" s="403">
        <f>IF(ISNUMBER(IF(D_I="SI",Datos!J15,Datos!J15+Datos!AD15)),IF(D_I="SI",Datos!J15,Datos!J15+Datos!AD15)," - ")</f>
        <v>2913</v>
      </c>
      <c r="F15" s="404">
        <f>IF(ISNUMBER(E15/B15),E15/B15," - ")</f>
        <v>728.25</v>
      </c>
      <c r="G15" s="403">
        <f>IF(ISNUMBER(IF(D_I="SI",Datos!K15,Datos!K15+Datos!AE15)),IF(D_I="SI",Datos!K15,Datos!K15+Datos!AE15)," - ")</f>
        <v>3013</v>
      </c>
      <c r="H15" s="404">
        <f>IF(ISNUMBER(G15/B15),G15/B15," - ")</f>
        <v>753.25</v>
      </c>
      <c r="I15" s="403">
        <f>IF(ISNUMBER(IF(D_I="SI",Datos!L15,Datos!L15+Datos!AF15)),IF(D_I="SI",Datos!L15,Datos!L15+Datos!AF15)," - ")</f>
        <v>2482</v>
      </c>
      <c r="J15" s="404">
        <f>IF(ISNUMBER(I15/B15),I15/B15," - ")</f>
        <v>620.5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4</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192</v>
      </c>
      <c r="D17" s="404">
        <f>IF(ISNUMBER(C17/Datos!BH17),C17/Datos!BH17," - ")</f>
        <v>192</v>
      </c>
      <c r="E17" s="403">
        <f>IF(ISNUMBER(IF(D_I="SI",Datos!J17,Datos!J17+Datos!AD17)),IF(D_I="SI",Datos!J17,Datos!J17+Datos!AD17)," - ")</f>
        <v>276</v>
      </c>
      <c r="F17" s="404">
        <f>IF(ISNUMBER(E17/B17),E17/B17," - ")</f>
        <v>276</v>
      </c>
      <c r="G17" s="403">
        <f>IF(ISNUMBER(IF(D_I="SI",Datos!K17,Datos!K17+Datos!AE17)),IF(D_I="SI",Datos!K17,Datos!K17+Datos!AE17)," - ")</f>
        <v>230</v>
      </c>
      <c r="H17" s="404">
        <f>IF(ISNUMBER(G17/B17),G17/B17," - ")</f>
        <v>230</v>
      </c>
      <c r="I17" s="403">
        <f>IF(ISNUMBER(IF(D_I="SI",Datos!L17,Datos!L17+Datos!AF17)),IF(D_I="SI",Datos!L17,Datos!L17+Datos!AF17)," - ")</f>
        <v>239</v>
      </c>
      <c r="J17" s="404">
        <f>IF(ISNUMBER(I17/B17),I17/B17," - ")</f>
        <v>239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2754</v>
      </c>
      <c r="D18" s="850" t="str">
        <f>IF(ISNUMBER(C18/Datos!BI18),C18/Datos!BI18," - ")</f>
        <v xml:space="preserve"> - </v>
      </c>
      <c r="E18" s="849">
        <f>SUBTOTAL(9,E14:E17)</f>
        <v>3189</v>
      </c>
      <c r="F18" s="850">
        <f>IF(ISNUMBER(E18/B18),E18/B18," - ")</f>
        <v>637.79999999999995</v>
      </c>
      <c r="G18" s="849">
        <f>SUBTOTAL(9,G14:G17)</f>
        <v>3247</v>
      </c>
      <c r="H18" s="850">
        <f>IF(ISNUMBER(G18/B18),G18/B18," - ")</f>
        <v>649.4</v>
      </c>
      <c r="I18" s="849">
        <f>SUBTOTAL(9,I14:I17)</f>
        <v>2724</v>
      </c>
      <c r="J18" s="850">
        <f>IF(ISNUMBER(I18/B18),I18/B18," - ")</f>
        <v>544.79999999999995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17101</v>
      </c>
      <c r="D19" s="795" t="str">
        <f>IF(ISNUMBER(C19/Datos!BI19),C19/Datos!BI19," - ")</f>
        <v xml:space="preserve"> - </v>
      </c>
      <c r="E19" s="794">
        <f>SUBTOTAL(9,E9:E18)</f>
        <v>9446</v>
      </c>
      <c r="F19" s="795">
        <f>IF(ISNUMBER(E19/B19),E19/B19," - ")</f>
        <v>858.72727272727275</v>
      </c>
      <c r="G19" s="794">
        <f>SUBTOTAL(9,G9:G18)</f>
        <v>7246</v>
      </c>
      <c r="H19" s="795">
        <f>IF(ISNUMBER(G19/B19),G19/B19," - ")</f>
        <v>658.72727272727275</v>
      </c>
      <c r="I19" s="794">
        <f>SUBTOTAL(9,I9:I18)</f>
        <v>19318</v>
      </c>
      <c r="J19" s="795">
        <f>IF(ISNUMBER(I19/B19),I19/B19," - ")</f>
        <v>1756.1818181818182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QlsmuSoeabVhNvnuCkaXhtfLS+FkPJgZTZxESu1sjMP2PiNSPGeny7yZjxV69rIPs5PtzstQNZltidqjplzjw==" saltValue="pFvKlAOGPvqAJ1XV3MSg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10.222222222222223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-7.575757575757576E-3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4</v>
      </c>
      <c r="AE13" s="939">
        <f t="shared" si="1"/>
        <v>0</v>
      </c>
      <c r="AF13" s="939">
        <f t="shared" si="1"/>
        <v>92</v>
      </c>
      <c r="AG13" s="939">
        <f t="shared" si="1"/>
        <v>0</v>
      </c>
      <c r="AH13" s="939">
        <f t="shared" si="1"/>
        <v>524</v>
      </c>
      <c r="AI13" s="939">
        <f t="shared" si="1"/>
        <v>0</v>
      </c>
      <c r="AJ13" s="939">
        <f t="shared" si="1"/>
        <v>0</v>
      </c>
      <c r="AK13" s="939">
        <f t="shared" si="1"/>
        <v>0</v>
      </c>
      <c r="AL13" s="939">
        <f t="shared" si="1"/>
        <v>17</v>
      </c>
      <c r="AM13" s="939">
        <f t="shared" si="1"/>
        <v>4</v>
      </c>
      <c r="AN13" s="939">
        <f t="shared" si="1"/>
        <v>0</v>
      </c>
      <c r="AO13" s="939">
        <f t="shared" si="1"/>
        <v>0</v>
      </c>
      <c r="AP13" s="944">
        <f>IF(ISNUMBER(((Datos!L13/Datos!K13)*11)/factor_trimestre),((Datos!L13/Datos!K13)*11)/factor_trimestre," - ")</f>
        <v>12.489655172413794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-0.3253012048192771</v>
      </c>
      <c r="AU13" s="939" t="str">
        <f>IF(ISNUMBER((DatosP!#REF!-DatosP!#REF!+DatosP!#REF!)/(DatosP!#REF!+DatosP!#REF!-DatosP!#REF!-DatosP!#REF!)),(DatosP!#REF!-DatosP!#REF!+DatosP!#REF!)/(DatosP!#REF!+DatosP!#REF!-DatosP!#REF!-DatosP!#REF!)," - ")</f>
        <v xml:space="preserve"> - </v>
      </c>
      <c r="AV13" s="945">
        <f>SUBTOTAL(9,AV9:AV12)</f>
        <v>-7.575757575757576E-3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2.5167847243609485</v>
      </c>
      <c r="AQ18" s="944">
        <f>IF(ISNUMBER(((Datos!M18/Datos!L18)*11)/factor_trimestre),((Datos!M18/Datos!L18)*11)/factor_trimestre," - ")</f>
        <v>0.45264317180616742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5.5464926590538338E-2</v>
      </c>
      <c r="AW18" s="946">
        <f>IF(ISNUMBER((Datos!Q18-Datos!R18)/(Datos!S18-Datos!Q18+Datos!R18)),(Datos!Q18-Datos!R18)/(Datos!S18-Datos!Q18+Datos!R18)," - ")</f>
        <v>-0.14779559118236474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4</v>
      </c>
      <c r="AE19" s="957">
        <f t="shared" si="5"/>
        <v>0</v>
      </c>
      <c r="AF19" s="958">
        <f t="shared" si="5"/>
        <v>92</v>
      </c>
      <c r="AG19" s="958">
        <f t="shared" si="5"/>
        <v>0</v>
      </c>
      <c r="AH19" s="958">
        <f t="shared" si="5"/>
        <v>524</v>
      </c>
      <c r="AI19" s="958">
        <f t="shared" si="5"/>
        <v>0</v>
      </c>
      <c r="AJ19" s="959">
        <f t="shared" si="5"/>
        <v>0</v>
      </c>
      <c r="AK19" s="959">
        <f t="shared" si="5"/>
        <v>0</v>
      </c>
      <c r="AL19" s="951">
        <f t="shared" si="5"/>
        <v>17</v>
      </c>
      <c r="AM19" s="951">
        <f t="shared" si="5"/>
        <v>4</v>
      </c>
      <c r="AN19" s="951">
        <f t="shared" si="5"/>
        <v>0</v>
      </c>
      <c r="AO19" s="951">
        <f t="shared" si="5"/>
        <v>0</v>
      </c>
      <c r="AP19" s="951">
        <f>IF(ISNUMBER(((Datos!L19/Datos!K19)*11)/factor_trimestre),((Datos!L19/Datos!K19)*11)/factor_trimestre," - ")</f>
        <v>7.9683049427534209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-0.3253012048192771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5.0709939148073022E-3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5.2277012824425144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Wo6BpScOg1ZRIqqi6wjFUpWeQLyukkvyM2+BYA12/9it7W9EDkHpLs0/vld43nRr3ICdanv6jstB4zPO9DREQ==" saltValue="yqJVQy3WHcD4JXi2WjeNg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 BARTOLOME DE TIRAJANA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1.3333333333333333</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GiVJnkEsXcRYaUZyJcT3HeeGeR7aDFC8YiU/InHW1S5fstxYwUzYDTeyB7XYRM9RKDh4ElPHqBTVQam7wTQww==" saltValue="i5MM4b8vHF8TiwFY6Lox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 BARTOLOME DE TIRAJANA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687</v>
      </c>
      <c r="E9" s="404">
        <f t="shared" ref="E9:E13" si="0">IF(ISNUMBER(D9/B9),D9/B9," - ")</f>
        <v>114.5</v>
      </c>
      <c r="F9" s="403">
        <f>IF(ISNUMBER(Datos!N9),Datos!N9," - ")</f>
        <v>2667</v>
      </c>
      <c r="G9" s="404">
        <f t="shared" ref="G9:G13" si="1">IF(ISNUMBER(F9/B9),F9/B9," - ")</f>
        <v>444.5</v>
      </c>
      <c r="H9" s="403">
        <f>IF(ISNUMBER(Datos!O9),Datos!O9," - ")</f>
        <v>815</v>
      </c>
      <c r="I9" s="404">
        <f>IF(ISNUMBER(H9/B9),H9/B9," - ")</f>
        <v>135.83333333333334</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4</v>
      </c>
      <c r="I12" s="404" t="str">
        <f t="shared" si="2"/>
        <v xml:space="preserve"> - </v>
      </c>
      <c r="BZ12" s="1186">
        <f>Datos!EZ12</f>
        <v>0</v>
      </c>
    </row>
    <row r="13" spans="1:78" ht="14.25" thickTop="1" thickBot="1">
      <c r="A13" s="848" t="str">
        <f>Datos!A13</f>
        <v>TOTAL</v>
      </c>
      <c r="B13" s="849">
        <f>Datos!AP13</f>
        <v>7</v>
      </c>
      <c r="C13" s="851">
        <f>Datos!AR13</f>
        <v>7</v>
      </c>
      <c r="D13" s="849">
        <f>SUBTOTAL(9,D9:D12)</f>
        <v>704</v>
      </c>
      <c r="E13" s="850">
        <f t="shared" si="0"/>
        <v>100.57142857142857</v>
      </c>
      <c r="F13" s="849">
        <f>SUBTOTAL(9,F9:F12)</f>
        <v>2671</v>
      </c>
      <c r="G13" s="850">
        <f t="shared" si="1"/>
        <v>381.57142857142856</v>
      </c>
      <c r="H13" s="849">
        <f>SUBTOTAL(9,H9:H12)</f>
        <v>819</v>
      </c>
      <c r="I13" s="850">
        <f>IF(ISNUMBER(H13/B13),H13/B13," - ")</f>
        <v>117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359</v>
      </c>
      <c r="E15" s="404">
        <f t="shared" ref="E15:E18" si="3">IF(ISNUMBER(D15/B15),D15/B15," - ")</f>
        <v>89.75</v>
      </c>
      <c r="F15" s="403">
        <f>IF(ISNUMBER(Datos!N15),Datos!N15," - ")</f>
        <v>2132</v>
      </c>
      <c r="G15" s="404">
        <f t="shared" ref="G15:G18" si="4">IF(ISNUMBER(F15/B15),F15/B15," - ")</f>
        <v>533</v>
      </c>
      <c r="H15" s="403">
        <f>IF(ISNUMBER(Datos!O15),Datos!O15," - ")</f>
        <v>12</v>
      </c>
      <c r="I15" s="404">
        <f t="shared" ref="I15:I17" si="5">IF(ISNUMBER(H15/B15),H15/B15," - ")</f>
        <v>3</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4</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52</v>
      </c>
      <c r="E17" s="404">
        <f>IF(ISNUMBER(D17/B17),D17/B17," - ")</f>
        <v>52</v>
      </c>
      <c r="F17" s="403">
        <f>IF(ISNUMBER(Datos!N17),Datos!N17," - ")</f>
        <v>133</v>
      </c>
      <c r="G17" s="404">
        <f>IF(ISNUMBER(F17/B17),F17/B17," - ")</f>
        <v>133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411</v>
      </c>
      <c r="E18" s="850">
        <f t="shared" si="3"/>
        <v>82.2</v>
      </c>
      <c r="F18" s="849">
        <f>SUBTOTAL(9,F15:F17)</f>
        <v>2269</v>
      </c>
      <c r="G18" s="850">
        <f t="shared" si="4"/>
        <v>453.8</v>
      </c>
      <c r="H18" s="849">
        <f>SUBTOTAL(9,H15:H17)</f>
        <v>12</v>
      </c>
      <c r="I18" s="850">
        <f>IF(ISNUMBER(H18/B18),H18/B18," - ")</f>
        <v>2.4</v>
      </c>
      <c r="BZ18" s="1186"/>
    </row>
    <row r="19" spans="1:78" ht="14.25" thickTop="1" thickBot="1">
      <c r="A19" s="793" t="str">
        <f>Datos!A19</f>
        <v>TOTAL JURISDICCIONES</v>
      </c>
      <c r="B19" s="794">
        <f>Datos!AP19</f>
        <v>11</v>
      </c>
      <c r="C19" s="794">
        <f>Datos!AR19</f>
        <v>11</v>
      </c>
      <c r="D19" s="794">
        <f>SUBTOTAL(9,D8:D18)</f>
        <v>1115</v>
      </c>
      <c r="E19" s="795">
        <f>IF(ISNUMBER(D19/B19),D19/B19," - ")</f>
        <v>101.36363636363636</v>
      </c>
      <c r="F19" s="794">
        <f>SUBTOTAL(9,F8:F18)</f>
        <v>4940</v>
      </c>
      <c r="G19" s="795">
        <f>IF(ISNUMBER(F19/B19),F19/B19," - ")</f>
        <v>449.09090909090907</v>
      </c>
      <c r="H19" s="794">
        <f>SUBTOTAL(9,H8:H18)</f>
        <v>831</v>
      </c>
      <c r="I19" s="795">
        <f>IF(ISNUMBER(H19/B19),H19/B19," - ")</f>
        <v>75.545454545454547</v>
      </c>
    </row>
    <row r="22" spans="1:78">
      <c r="A22" s="391" t="str">
        <f>Criterios!A4</f>
        <v>Fecha Informe: 03 jun. 2025</v>
      </c>
    </row>
    <row r="27" spans="1:78">
      <c r="A27" s="414"/>
    </row>
  </sheetData>
  <sheetProtection algorithmName="SHA-512" hashValue="P6doI9v+XgvipoBF3QesA+hf+pDbWdmgdA383pTWWMFrfqpVdO2ohlSpQ2BxTpVBlOutOdZz8OQv6DA0trn5sg==" saltValue="Q0nQEZkzOZ8jFVV8SnvT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 BARTOLOME DE TIRAJANA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353</v>
      </c>
      <c r="C9" s="434">
        <f>IF(ISNUMBER(Datos!Q9),Datos!Q9," - ")</f>
        <v>322</v>
      </c>
      <c r="D9" s="408">
        <f>IF(ISNUMBER(Datos!R9),Datos!R9," - ")</f>
        <v>10671</v>
      </c>
    </row>
    <row r="10" spans="1:4">
      <c r="A10" s="402" t="str">
        <f>Datos!A10</f>
        <v>Jdos. Violencia contra la mujer</v>
      </c>
      <c r="B10" s="433">
        <f>IF(ISNUMBER(Datos!P10),Datos!P10," - ")</f>
        <v>1</v>
      </c>
      <c r="C10" s="434">
        <f>IF(ISNUMBER(Datos!Q10),Datos!Q10," - ")</f>
        <v>2</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4</v>
      </c>
      <c r="D12" s="408">
        <f>IF(ISNUMBER(Datos!R12),Datos!R12," - ")</f>
        <v>524</v>
      </c>
    </row>
    <row r="13" spans="1:4" ht="14.25" thickTop="1" thickBot="1">
      <c r="A13" s="848" t="str">
        <f>Datos!A13</f>
        <v>TOTAL</v>
      </c>
      <c r="B13" s="849">
        <f>SUBTOTAL(9,B9:B12)</f>
        <v>354</v>
      </c>
      <c r="C13" s="853">
        <f>SUBTOTAL(9,C9:C12)</f>
        <v>328</v>
      </c>
      <c r="D13" s="851">
        <f>SUBTOTAL(9,D9:D12)</f>
        <v>11245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80</v>
      </c>
      <c r="C15" s="434">
        <f>IF(ISNUMBER(Datos!Q15),Datos!Q15," - ")</f>
        <v>56</v>
      </c>
      <c r="D15" s="408">
        <f>IF(ISNUMBER(Datos!R15),Datos!R15," - ")</f>
        <v>612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11</v>
      </c>
      <c r="C17" s="434">
        <f>IF(ISNUMBER(Datos!Q17),Datos!Q17," - ")</f>
        <v>1</v>
      </c>
      <c r="D17" s="408">
        <f>IF(ISNUMBER(Datos!R17),Datos!R17," - ")</f>
        <v>35</v>
      </c>
    </row>
    <row r="18" spans="1:4" ht="14.25" thickTop="1" thickBot="1">
      <c r="A18" s="848" t="str">
        <f>Datos!A18</f>
        <v>TOTAL</v>
      </c>
      <c r="B18" s="849">
        <f>SUBTOTAL(9,B15:B17)</f>
        <v>91</v>
      </c>
      <c r="C18" s="853">
        <f>SUBTOTAL(9,C15:C17)</f>
        <v>57</v>
      </c>
      <c r="D18" s="851">
        <f>SUBTOTAL(9,D15:D17)</f>
        <v>647</v>
      </c>
    </row>
    <row r="19" spans="1:4" ht="16.5" customHeight="1" thickTop="1" thickBot="1">
      <c r="A19" s="793" t="str">
        <f>Datos!A19</f>
        <v>TOTAL JURISDICCIONES</v>
      </c>
      <c r="B19" s="798">
        <f>SUBTOTAL(9,B8:B18)</f>
        <v>445</v>
      </c>
      <c r="C19" s="799">
        <f>SUBTOTAL(9,C8:C18)</f>
        <v>385</v>
      </c>
      <c r="D19" s="800">
        <f>SUBTOTAL(9,D8:D18)</f>
        <v>11892</v>
      </c>
    </row>
    <row r="20" spans="1:4" ht="7.5" customHeight="1"/>
    <row r="21" spans="1:4" ht="6" customHeight="1"/>
    <row r="22" spans="1:4">
      <c r="A22" s="391" t="str">
        <f>Criterios!A4</f>
        <v>Fecha Informe: 03 jun. 2025</v>
      </c>
    </row>
    <row r="27" spans="1:4">
      <c r="A27" s="414"/>
    </row>
  </sheetData>
  <sheetProtection algorithmName="SHA-512" hashValue="Nr0aAxzJePlwrdWySAofl+jXd1dHso52sfOfWCSEdj+G9fJA8mp3/XO7OgYVhLzI2qVGmGJ9b37u3WRlCwpRbg==" saltValue="1bj9I5XgZzlppgK+Tc0C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 BARTOLOME DE TIRAJANA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0.28089080459770116</v>
      </c>
      <c r="C9" s="456">
        <f>IF(ISNUMBER(
   IF(J_V="SI",(Datos!J9-Datos!T9)/Datos!T9,(Datos!J9+Datos!Z9-(Datos!T9+Datos!AH9))/(Datos!T9+Datos!AH9))
     ),IF(J_V="SI",(Datos!J9-Datos!T9)/Datos!T9,(Datos!J9+Datos!Z9-(Datos!T9+Datos!AH9))/(Datos!T9+Datos!AH9))," - ")</f>
        <v>0.76984352773826459</v>
      </c>
      <c r="D9" s="456">
        <f>IF(ISNUMBER(
   IF(J_V="SI",(Datos!K9-Datos!U9)/Datos!U9,(Datos!K9+Datos!AA9-(Datos!U9+Datos!AI9))/(Datos!U9+Datos!AI9))
     ),IF(J_V="SI",(Datos!K9-Datos!U9)/Datos!U9,(Datos!K9+Datos!AA9-(Datos!U9+Datos!AI9))/(Datos!U9+Datos!AI9))," - ")</f>
        <v>0.44436363636363635</v>
      </c>
      <c r="E9" s="456">
        <f>IF(ISNUMBER(
   IF(J_V="SI",(Datos!L9-Datos!V9)/Datos!V9,(Datos!L9+Datos!AB9-(Datos!V9+Datos!AJ9))/(Datos!V9+Datos!AJ9))
     ),IF(J_V="SI",(Datos!L9-Datos!V9)/Datos!V9,(Datos!L9+Datos!AB9-(Datos!V9+Datos!AJ9))/(Datos!V9+Datos!AJ9))," - ")</f>
        <v>0.38660616754894545</v>
      </c>
      <c r="F9" s="456">
        <f>IF(ISNUMBER((Datos!M9-Datos!W9)/Datos!W9),(Datos!M9-Datos!W9)/Datos!W9," - ")</f>
        <v>0.23783783783783785</v>
      </c>
      <c r="G9" s="457">
        <f>IF(ISNUMBER((Datos!N9-Datos!X9)/Datos!X9),(Datos!N9-Datos!X9)/Datos!X9," - ")</f>
        <v>0.59223880597014922</v>
      </c>
      <c r="H9" s="455">
        <f>IF(ISNUMBER(((NºAsuntos!G9/NºAsuntos!E9)-Datos!BD9)/Datos!BD9),((NºAsuntos!G9/NºAsuntos!E9)-Datos!BD9)/Datos!BD9," - ")</f>
        <v>-0.1839032017652818</v>
      </c>
      <c r="I9" s="456">
        <f>IF(ISNUMBER(((NºAsuntos!I9/NºAsuntos!G9)-Datos!BE9)/Datos!BE9),((NºAsuntos!I9/NºAsuntos!G9)-Datos!BE9)/Datos!BE9," - ")</f>
        <v>-3.9988177049446148E-2</v>
      </c>
      <c r="J9" s="461">
        <f>IF(ISNUMBER((('Resol  Asuntos'!D9/NºAsuntos!G9)-Datos!BF9)/Datos!BF9),(('Resol  Asuntos'!D9/NºAsuntos!G9)-Datos!BF9)/Datos!BF9," - ")</f>
        <v>-0.71603463047301252</v>
      </c>
      <c r="K9" s="462">
        <f>IF(ISNUMBER((((NºAsuntos!C9+NºAsuntos!E9)/NºAsuntos!G9)-Datos!BG9)/Datos!BG9),(((NºAsuntos!C9+NºAsuntos!E9)/NºAsuntos!G9)-Datos!BG9)/Datos!BG9," - ")</f>
        <v>-3.1962561217031962E-2</v>
      </c>
    </row>
    <row r="10" spans="1:11">
      <c r="A10" s="402" t="str">
        <f>Datos!A10</f>
        <v>Jdos. Violencia contra la mujer</v>
      </c>
      <c r="B10" s="455">
        <f>IF(ISNUMBER((Datos!I10-Datos!S10)/Datos!S10),(Datos!I10-Datos!S10)/Datos!S10," - ")</f>
        <v>-8.7912087912087919E-2</v>
      </c>
      <c r="C10" s="456">
        <f>IF(ISNUMBER((Datos!J10-Datos!T10)/Datos!T10),(Datos!J10-Datos!T10)/Datos!T10," - ")</f>
        <v>-0.44615384615384618</v>
      </c>
      <c r="D10" s="456">
        <f>IF(ISNUMBER((Datos!K10-Datos!U10)/Datos!U10),(Datos!K10-Datos!U10)/Datos!U10," - ")</f>
        <v>-0.625</v>
      </c>
      <c r="E10" s="456">
        <f>IF(ISNUMBER((Datos!L10-Datos!V10)/Datos!V10),(Datos!L10-Datos!V10)/Datos!V10," - ")</f>
        <v>9.5238095238095233E-2</v>
      </c>
      <c r="F10" s="456">
        <f>IF(ISNUMBER((Datos!M10-Datos!W10)/Datos!W10),(Datos!M10-Datos!W10)/Datos!W10," - ")</f>
        <v>-0.19047619047619047</v>
      </c>
      <c r="G10" s="457">
        <f>IF(ISNUMBER((Datos!N10-Datos!X10)/Datos!X10),(Datos!N10-Datos!X10)/Datos!X10," - ")</f>
        <v>-0.83333333333333337</v>
      </c>
      <c r="H10" s="455">
        <f>IF(ISNUMBER(((NºAsuntos!G10/NºAsuntos!E10)-Datos!BD10)/Datos!BD10),((NºAsuntos!G10/NºAsuntos!E10)-Datos!BD10)/Datos!BD10," - ")</f>
        <v>-0.32291666666666669</v>
      </c>
      <c r="I10" s="456">
        <f>IF(ISNUMBER(((NºAsuntos!I10/NºAsuntos!G10)-Datos!BE10)/Datos!BE10),((NºAsuntos!I10/NºAsuntos!G10)-Datos!BE10)/Datos!BE10," - ")</f>
        <v>1.9206349206349203</v>
      </c>
      <c r="J10" s="461">
        <f>IF(ISNUMBER((('Resol  Asuntos'!D10/NºAsuntos!G10)-Datos!BF10)/Datos!BF10),(('Resol  Asuntos'!D10/NºAsuntos!G10)-Datos!BF10)/Datos!BF10," - ")</f>
        <v>1.1587301587301586</v>
      </c>
      <c r="K10" s="462">
        <f>IF(ISNUMBER((((NºAsuntos!C10+NºAsuntos!E10)/NºAsuntos!G10)-Datos!BG10)/Datos!BG10),(((NºAsuntos!C10+NºAsuntos!E10)/NºAsuntos!G10)-Datos!BG10)/Datos!BG10," - ")</f>
        <v>1.0341880341880343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0.27721890857295467</v>
      </c>
      <c r="C13" s="855">
        <f>IF(ISNUMBER(
   IF(J_V="SI",(Datos!J13-Datos!T13)/Datos!T13,(Datos!J13+Datos!Z13-(Datos!T13+Datos!AH13))/(Datos!T13+Datos!AH13))
     ),IF(J_V="SI",(Datos!J13-Datos!T13)/Datos!T13,(Datos!J13+Datos!Z13-(Datos!T13+Datos!AH13))/(Datos!T13+Datos!AH13))," - ")</f>
        <v>0.74776536312849162</v>
      </c>
      <c r="D13" s="855">
        <f>IF(ISNUMBER(
   IF(J_V="SI",(Datos!K13-Datos!U13)/Datos!U13,(Datos!K13+Datos!AA13-(Datos!U13+Datos!AI13))/(Datos!U13+Datos!AI13))
     ),IF(J_V="SI",(Datos!K13-Datos!U13)/Datos!U13,(Datos!K13+Datos!AA13-(Datos!U13+Datos!AI13))/(Datos!U13+Datos!AI13))," - ")</f>
        <v>0.41708008504606664</v>
      </c>
      <c r="E13" s="855">
        <f>IF(ISNUMBER(
   IF(J_V="SI",(Datos!L13-Datos!V13)/Datos!V13,(Datos!L13+Datos!AB13-(Datos!V13+Datos!AJ13))/(Datos!V13+Datos!AJ13))
     ),IF(J_V="SI",(Datos!L13-Datos!V13)/Datos!V13,(Datos!L13+Datos!AB13-(Datos!V13+Datos!AJ13))/(Datos!V13+Datos!AJ13))," - ")</f>
        <v>0.38387123676090401</v>
      </c>
      <c r="F13" s="856">
        <f>IF(ISNUMBER((Datos!M13-Datos!W13)/Datos!W13),(Datos!M13-Datos!W13)/Datos!W13," - ")</f>
        <v>0.22222222222222221</v>
      </c>
      <c r="G13" s="857">
        <f>IF(ISNUMBER((Datos!N13-Datos!X13)/Datos!X13),(Datos!N13-Datos!X13)/Datos!X13," - ")</f>
        <v>0.54930394431554519</v>
      </c>
      <c r="H13" s="857">
        <f>IF(ISNUMBER(((NºAsuntos!G13/NºAsuntos!E13)-Datos!BD13)/Datos!BD13),((NºAsuntos!G13/NºAsuntos!E13)-Datos!BD13)/Datos!BD13," - ")</f>
        <v>-0.18920461811332615</v>
      </c>
      <c r="I13" s="857">
        <f>IF(ISNUMBER(((NºAsuntos!I13/NºAsuntos!G13)-Datos!BE13)/Datos!BE13),((NºAsuntos!I13/NºAsuntos!G13)-Datos!BE13)/Datos!BE13," - ")</f>
        <v>-2.3434701140467452E-2</v>
      </c>
      <c r="J13" s="857">
        <f>IF(ISNUMBER((('Resol  Asuntos'!D13/NºAsuntos!G13)-Datos!BF13)/Datos!BF13),(('Resol  Asuntos'!D13/NºAsuntos!G13)-Datos!BF13)/Datos!BF13," - ")</f>
        <v>-0.71133283030228789</v>
      </c>
      <c r="K13" s="857">
        <f>IF(ISNUMBER((((NºAsuntos!C13+NºAsuntos!E13)/NºAsuntos!G13)-Datos!BG13)/Datos!BG13),(((NºAsuntos!C13+NºAsuntos!E13)/NºAsuntos!G13)-Datos!BG13)/Datos!BG13," - ")</f>
        <v>-1.8446166257016925E-2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-0.21051004636785162</v>
      </c>
      <c r="C15" s="456">
        <f>IF(ISNUMBER(
   IF(D_I="SI",(Datos!J15-Datos!T15)/Datos!T15,(Datos!J15+Datos!AD15-(Datos!T15+Datos!AL15))/(Datos!T15+Datos!AL15))
     ),IF(D_I="SI",(Datos!J15-Datos!T15)/Datos!T15,(Datos!J15+Datos!AD15-(Datos!T15+Datos!AL15))/(Datos!T15+Datos!AL15))," - ")</f>
        <v>-4.2406311637080869E-2</v>
      </c>
      <c r="D15" s="456">
        <f>IF(ISNUMBER(
   IF(D_I="SI",(Datos!K15-Datos!U15)/Datos!U15,(Datos!K15+Datos!AE15-(Datos!U15+Datos!AM15))/(Datos!U15+Datos!AM15))
     ),IF(D_I="SI",(Datos!K15-Datos!U15)/Datos!U15,(Datos!K15+Datos!AE15-(Datos!U15+Datos!AM15))/(Datos!U15+Datos!AM15))," - ")</f>
        <v>-0.10434007134363853</v>
      </c>
      <c r="E15" s="456">
        <f>IF(ISNUMBER(
   IF(D_I="SI",(Datos!L15-Datos!V15)/Datos!V15,(Datos!L15+Datos!AF15-(Datos!V15+Datos!AN15))/(Datos!V15+Datos!AN15))
     ),IF(D_I="SI",(Datos!L15-Datos!V15)/Datos!V15,(Datos!L15+Datos!AF15-(Datos!V15+Datos!AN15))/(Datos!V15+Datos!AN15))," - ")</f>
        <v>-3.4992223950233284E-2</v>
      </c>
      <c r="F15" s="456">
        <f>IF(ISNUMBER((Datos!M15-Datos!W15)/Datos!W15),(Datos!M15-Datos!W15)/Datos!W15," - ")</f>
        <v>9.451219512195122E-2</v>
      </c>
      <c r="G15" s="457">
        <f>IF(ISNUMBER((Datos!N15-Datos!X15)/Datos!X15),(Datos!N15-Datos!X15)/Datos!X15," - ")</f>
        <v>-0.18625954198473282</v>
      </c>
      <c r="H15" s="455">
        <f>IF(ISNUMBER(((NºAsuntos!G15/NºAsuntos!E15)-Datos!BD15)/Datos!BD15),((NºAsuntos!G15/NºAsuntos!E15)-Datos!BD15)/Datos!BD15," - ")</f>
        <v>-6.4676449374304279E-2</v>
      </c>
      <c r="I15" s="456">
        <f>IF(ISNUMBER(((NºAsuntos!I15/NºAsuntos!G15)-Datos!BE15)/Datos!BE15),((NºAsuntos!I15/NºAsuntos!G15)-Datos!BE15)/Datos!BE15," - ")</f>
        <v>7.7426537879659821E-2</v>
      </c>
      <c r="J15" s="461">
        <f>IF(ISNUMBER((('Resol  Asuntos'!D15/NºAsuntos!G15)-Datos!BF15)/Datos!BF15),(('Resol  Asuntos'!D15/NºAsuntos!G15)-Datos!BF15)/Datos!BF15," - ")</f>
        <v>0.22201759853642342</v>
      </c>
      <c r="K15" s="462">
        <f>IF(ISNUMBER((((NºAsuntos!C15+NºAsuntos!E15)/NºAsuntos!G15)-Datos!BG15)/Datos!BG15),(((NºAsuntos!C15+NºAsuntos!E15)/NºAsuntos!G15)-Datos!BG15)/Datos!BG15," - ")</f>
        <v>-2.758018318051543E-2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-0.1111111111111111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-0.625</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0.21518987341772153</v>
      </c>
      <c r="C17" s="456">
        <f>IF(ISNUMBER(
   IF(D_I="SI",(Datos!J17-Datos!T17)/Datos!T17,(Datos!J17+Datos!AD17-(Datos!T17+Datos!AL17))/(Datos!T17+Datos!AL17))
     ),IF(D_I="SI",(Datos!J17-Datos!T17)/Datos!T17,(Datos!J17+Datos!AD17-(Datos!T17+Datos!AL17))/(Datos!T17+Datos!AL17))," - ")</f>
        <v>0.22666666666666666</v>
      </c>
      <c r="D17" s="456">
        <f>IF(ISNUMBER(
   IF(D_I="SI",(Datos!K17-Datos!U17)/Datos!U17,(Datos!K17+Datos!AE17-(Datos!U17+Datos!AM17))/(Datos!U17+Datos!AM17))
     ),IF(D_I="SI",(Datos!K17-Datos!U17)/Datos!U17,(Datos!K17+Datos!AE17-(Datos!U17+Datos!AM17))/(Datos!U17+Datos!AM17))," - ")</f>
        <v>0.27777777777777779</v>
      </c>
      <c r="E17" s="456">
        <f>IF(ISNUMBER(
   IF(D_I="SI",(Datos!L17-Datos!V17)/Datos!V17,(Datos!L17+Datos!AF17-(Datos!V17+Datos!AN17))/(Datos!V17+Datos!AN17))
     ),IF(D_I="SI",(Datos!L17-Datos!V17)/Datos!V17,(Datos!L17+Datos!AF17-(Datos!V17+Datos!AN17))/(Datos!V17+Datos!AN17))," - ")</f>
        <v>0.16019417475728157</v>
      </c>
      <c r="F17" s="456">
        <f>IF(ISNUMBER((Datos!M17-Datos!W17)/Datos!W17),(Datos!M17-Datos!W17)/Datos!W17," - ")</f>
        <v>-0.11864406779661017</v>
      </c>
      <c r="G17" s="457">
        <f>IF(ISNUMBER((Datos!N17-Datos!X17)/Datos!X17),(Datos!N17-Datos!X17)/Datos!X17," - ")</f>
        <v>0.33</v>
      </c>
      <c r="H17" s="455">
        <f>IF(ISNUMBER(((NºAsuntos!G17/NºAsuntos!E17)-Datos!BD17)/Datos!BD17),((NºAsuntos!G17/NºAsuntos!E17)-Datos!BD17)/Datos!BD17," - ")</f>
        <v>4.1666666666666657E-2</v>
      </c>
      <c r="I17" s="456">
        <f>IF(ISNUMBER(((NºAsuntos!I17/NºAsuntos!G17)-Datos!BE17)/Datos!BE17),((NºAsuntos!I17/NºAsuntos!G17)-Datos!BE17)/Datos!BE17," - ")</f>
        <v>-9.2021950189953516E-2</v>
      </c>
      <c r="J17" s="461">
        <f>IF(ISNUMBER((('Resol  Asuntos'!D17/NºAsuntos!G17)-Datos!BF17)/Datos!BF17),(('Resol  Asuntos'!D17/NºAsuntos!G17)-Datos!BF17)/Datos!BF17," - ")</f>
        <v>-0.31024318349299929</v>
      </c>
      <c r="K17" s="462">
        <f>IF(ISNUMBER((((NºAsuntos!C17+NºAsuntos!E17)/NºAsuntos!G17)-Datos!BG17)/Datos!BG17),(((NºAsuntos!C17+NºAsuntos!E17)/NºAsuntos!G17)-Datos!BG17)/Datos!BG17," - ")</f>
        <v>-4.3705301396299329E-2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-0.19047619047619047</v>
      </c>
      <c r="C18" s="855">
        <f>IF(ISNUMBER(
   IF(Criterios!B14="SI",(Datos!J18-Datos!T18)/Datos!T18,(Datos!J18+Datos!AD18-(Datos!T18+Datos!AL18))/(Datos!T18+Datos!AL18))
     ),IF(Criterios!B14="SI",(Datos!J18-Datos!T18)/Datos!T18,(Datos!J18+Datos!AD18-(Datos!T18+Datos!AL18))/(Datos!T18+Datos!AL18))," - ")</f>
        <v>-2.3875114784205693E-2</v>
      </c>
      <c r="D18" s="855">
        <f>IF(ISNUMBER(
   IF(Criterios!B14="SI",(Datos!K18-Datos!U18)/Datos!U18,(Datos!K18+Datos!AE18-(Datos!U18+Datos!AM18))/(Datos!U18+Datos!AM18))
     ),IF(Criterios!B14="SI",(Datos!K18-Datos!U18)/Datos!U18,(Datos!K18+Datos!AE18-(Datos!U18+Datos!AM18))/(Datos!U18+Datos!AM18))," - ")</f>
        <v>-8.3803611738148986E-2</v>
      </c>
      <c r="E18" s="855">
        <f>IF(ISNUMBER(
   IF(Criterios!B14="SI",(Datos!L18-Datos!V18)/Datos!V18,(Datos!L18+Datos!AF18-(Datos!V18+Datos!AN18))/(Datos!V18+Datos!AN18))
     ),IF(Criterios!B14="SI",(Datos!L18-Datos!V18)/Datos!V18,(Datos!L18+Datos!AF18-(Datos!V18+Datos!AN18))/(Datos!V18+Datos!AN18))," - ")</f>
        <v>-2.2254127781765973E-2</v>
      </c>
      <c r="F18" s="856">
        <f>IF(ISNUMBER((Datos!M18-Datos!W18)/Datos!W18),(Datos!M18-Datos!W18)/Datos!W18," - ")</f>
        <v>6.2015503875968991E-2</v>
      </c>
      <c r="G18" s="857">
        <f>IF(ISNUMBER((Datos!N18-Datos!X18)/Datos!X18),(Datos!N18-Datos!X18)/Datos!X18," - ")</f>
        <v>-0.16580882352941176</v>
      </c>
      <c r="H18" s="857">
        <f>IF(ISNUMBER(((NºAsuntos!G18/NºAsuntos!E18)-Datos!BD18)/Datos!BD18),((NºAsuntos!G18/NºAsuntos!E18)-Datos!BD18)/Datos!BD18," - ")</f>
        <v>-6.1394292740210826E-2</v>
      </c>
      <c r="I18" s="857">
        <f>IF(ISNUMBER(((NºAsuntos!I18/NºAsuntos!G18)-Datos!BE18)/Datos!BE18),((NºAsuntos!I18/NºAsuntos!G18)-Datos!BE18)/Datos!BE18," - ")</f>
        <v>6.7179356680450053E-2</v>
      </c>
      <c r="J18" s="857">
        <f>IF(ISNUMBER((('Resol  Asuntos'!D18/NºAsuntos!G18)-Datos!BF18)/Datos!BF18),(('Resol  Asuntos'!D18/NºAsuntos!G18)-Datos!BF18)/Datos!BF18," - ")</f>
        <v>0.15915705135091904</v>
      </c>
      <c r="K18" s="857">
        <f>IF(ISNUMBER((((NºAsuntos!C18+NºAsuntos!E18)/NºAsuntos!G18)-Datos!BG18)/Datos!BG18),(((NºAsuntos!C18+NºAsuntos!E18)/NºAsuntos!G18)-Datos!BG18)/Datos!BG18," - ")</f>
        <v>-2.7350344225840612E-2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0.16850017082336863</v>
      </c>
      <c r="C19" s="802">
        <f>IF(ISNUMBER(
   IF(J_V="SI",(Datos!J19-Datos!T19)/Datos!T19,(Datos!J19+Datos!Z19-(Datos!T19+Datos!AH19))/(Datos!T19+Datos!AH19))
     ),IF(J_V="SI",(Datos!J19-Datos!T19)/Datos!T19,(Datos!J19+Datos!Z19-(Datos!T19+Datos!AH19))/(Datos!T19+Datos!AH19))," - ")</f>
        <v>0.37958229881700012</v>
      </c>
      <c r="D19" s="802">
        <f>IF(ISNUMBER(
   IF(J_V="SI",(Datos!K19-Datos!U19)/Datos!U19,(Datos!K19+Datos!AA19-(Datos!U19+Datos!AI19))/(Datos!U19+Datos!AI19))
     ),IF(J_V="SI",(Datos!K19-Datos!U19)/Datos!U19,(Datos!K19+Datos!AA19-(Datos!U19+Datos!AI19))/(Datos!U19+Datos!AI19))," - ")</f>
        <v>0.138234370091109</v>
      </c>
      <c r="E19" s="802">
        <f>IF(ISNUMBER(
   IF(J_V="SI",(Datos!L19-Datos!V19)/Datos!V19,(Datos!L19+Datos!AB19-(Datos!V19+Datos!AJ19))/(Datos!V19+Datos!AJ19))
     ),IF(J_V="SI",(Datos!L19-Datos!V19)/Datos!V19,(Datos!L19+Datos!AB19-(Datos!V19+Datos!AJ19))/(Datos!V19+Datos!AJ19))," - ")</f>
        <v>0.30730188806929687</v>
      </c>
      <c r="F19" s="803">
        <f>IF(ISNUMBER((Datos!M19-Datos!W19)/Datos!W19),(Datos!M19-Datos!W19)/Datos!W19," - ")</f>
        <v>0.15784008307372793</v>
      </c>
      <c r="G19" s="804">
        <f>IF(ISNUMBER((Datos!N19-Datos!X19)/Datos!X19),(Datos!N19-Datos!X19)/Datos!X19," - ")</f>
        <v>0.11161116111611161</v>
      </c>
      <c r="H19" s="805">
        <f>IF(ISNUMBER((Tasas!B19-Datos!BD19)/Datos!BD19),(Tasas!B19-Datos!BD19)/Datos!BD19," - ")</f>
        <v>-0.17494275545057977</v>
      </c>
      <c r="I19" s="806">
        <f>IF(ISNUMBER((Tasas!C19-Datos!BE19)/Datos!BE19),(Tasas!C19-Datos!BE19)/Datos!BE19," - ")</f>
        <v>0.14853489089830843</v>
      </c>
      <c r="J19" s="807">
        <f>IF(ISNUMBER((Tasas!D19-Datos!BF19)/Datos!BF19),(Tasas!D19-Datos!BF19)/Datos!BF19," - ")</f>
        <v>-0.5353001145433377</v>
      </c>
      <c r="K19" s="807">
        <f>IF(ISNUMBER((Tasas!E19-Datos!BG19)/Datos!BG19),(Tasas!E19-Datos!BG19)/Datos!BG19," - ")</f>
        <v>8.5698010900421173E-2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usVXB1tf0BDsoIwf0KabqtI6RGYbISMY9DYg4RjH8m9fmEFNilhzt3FZ708lz6Z7qheZz2Aghcp8k0X1IiHlQ==" saltValue="wyhgeMx8srehPTXJt5nW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 BARTOLOME DE TIRAJANA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0.63848255907410389</v>
      </c>
      <c r="C9" s="443">
        <f>IF(ISNUMBER(NºAsuntos!I9/NºAsuntos!G9),NºAsuntos!I9/NºAsuntos!G9," - ")</f>
        <v>4.1545820745216515</v>
      </c>
      <c r="D9" s="444">
        <f>IF(ISNUMBER('Resol  Asuntos'!D9/NºAsuntos!G9),'Resol  Asuntos'!D9/NºAsuntos!G9," - ")</f>
        <v>0.1729607250755287</v>
      </c>
      <c r="E9" s="445">
        <f>IF(ISNUMBER((NºAsuntos!C9+NºAsuntos!E9)/NºAsuntos!G9),(NºAsuntos!C9+NºAsuntos!E9)/NºAsuntos!G9," - ")</f>
        <v>5.1573514602215509</v>
      </c>
      <c r="G9" s="463"/>
    </row>
    <row r="10" spans="1:7">
      <c r="A10" s="402" t="str">
        <f>Datos!A10</f>
        <v>Jdos. Violencia contra la mujer</v>
      </c>
      <c r="B10" s="442">
        <f>IF(ISNUMBER(NºAsuntos!G10/NºAsuntos!E10),NºAsuntos!G10/NºAsuntos!E10," - ")</f>
        <v>0.75</v>
      </c>
      <c r="C10" s="443">
        <f>IF(ISNUMBER(NºAsuntos!I10/NºAsuntos!G10),NºAsuntos!I10/NºAsuntos!G10," - ")</f>
        <v>3.4074074074074074</v>
      </c>
      <c r="D10" s="444">
        <f>IF(ISNUMBER('Resol  Asuntos'!D10/NºAsuntos!G10),'Resol  Asuntos'!D10/NºAsuntos!G10," - ")</f>
        <v>0.62962962962962965</v>
      </c>
      <c r="E10" s="445">
        <f>IF(ISNUMBER((NºAsuntos!C10+NºAsuntos!E10)/NºAsuntos!G10),(NºAsuntos!C10+NºAsuntos!E10)/NºAsuntos!G10," - ")</f>
        <v>4.4074074074074074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0.63912418091737255</v>
      </c>
      <c r="C13" s="859">
        <f>IF(ISNUMBER(NºAsuntos!I13/NºAsuntos!G13),NºAsuntos!I13/NºAsuntos!G13," - ")</f>
        <v>4.1495373843460861</v>
      </c>
      <c r="D13" s="860">
        <f>IF(ISNUMBER('Resol  Asuntos'!D13/NºAsuntos!G13),'Resol  Asuntos'!D13/NºAsuntos!G13," - ")</f>
        <v>0.17604401100275069</v>
      </c>
      <c r="E13" s="861">
        <f>IF(ISNUMBER((NºAsuntos!C13+NºAsuntos!E13)/NºAsuntos!G13),(NºAsuntos!C13+NºAsuntos!E13)/NºAsuntos!G13," - ")</f>
        <v>5.1522880720180044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1.0343288705801579</v>
      </c>
      <c r="C15" s="443">
        <f>IF(ISNUMBER(NºAsuntos!I15/NºAsuntos!G15),NºAsuntos!I15/NºAsuntos!G15," - ")</f>
        <v>0.82376369067374711</v>
      </c>
      <c r="D15" s="444">
        <f>IF(ISNUMBER('Resol  Asuntos'!D15/NºAsuntos!G15),'Resol  Asuntos'!D15/NºAsuntos!G15," - ")</f>
        <v>0.1191503484898772</v>
      </c>
      <c r="E15" s="445">
        <f>IF(ISNUMBER((NºAsuntos!C15+NºAsuntos!E15)/NºAsuntos!G15),(NºAsuntos!C15+NºAsuntos!E15)/NºAsuntos!G15," - ")</f>
        <v>1.814470627281779</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0.75</v>
      </c>
      <c r="D16" s="444">
        <f>IF(ISNUMBER('Resol  Asuntos'!D16/NºAsuntos!G16),'Resol  Asuntos'!D16/NºAsuntos!G16," - ")</f>
        <v>0</v>
      </c>
      <c r="E16" s="445">
        <f>IF(ISNUMBER((NºAsuntos!C16+NºAsuntos!E16)/NºAsuntos!G16),(NºAsuntos!C16+NºAsuntos!E16)/NºAsuntos!G16," - ")</f>
        <v>2</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1.0391304347826087</v>
      </c>
      <c r="D17" s="444">
        <f>IF(ISNUMBER('Resol  Asuntos'!D17/NºAsuntos!G17),'Resol  Asuntos'!D17/NºAsuntos!G17," - ")</f>
        <v>0.22608695652173913</v>
      </c>
      <c r="E17" s="445">
        <f>IF(ISNUMBER((NºAsuntos!C17+NºAsuntos!E17)/NºAsuntos!G17),(NºAsuntos!C17+NºAsuntos!E17)/NºAsuntos!G17," - ")</f>
        <v>2.034782608695652</v>
      </c>
      <c r="G17" s="463"/>
    </row>
    <row r="18" spans="1:7" ht="14.25" thickTop="1" thickBot="1">
      <c r="A18" s="848" t="str">
        <f>Datos!A18</f>
        <v>TOTAL</v>
      </c>
      <c r="B18" s="858">
        <f>IF(ISNUMBER(NºAsuntos!G18/NºAsuntos!E18),NºAsuntos!G18/NºAsuntos!E18," - ")</f>
        <v>1.0181875195986203</v>
      </c>
      <c r="C18" s="859">
        <f>IF(ISNUMBER(NºAsuntos!I18/NºAsuntos!G18),NºAsuntos!I18/NºAsuntos!G18," - ")</f>
        <v>0.83892824145364953</v>
      </c>
      <c r="D18" s="862">
        <f>IF(ISNUMBER('Resol  Asuntos'!D18/NºAsuntos!G18),'Resol  Asuntos'!D18/NºAsuntos!G18," - ")</f>
        <v>0.12657838004311672</v>
      </c>
      <c r="E18" s="861">
        <f>IF(ISNUMBER((NºAsuntos!C18+NºAsuntos!E18)/NºAsuntos!G18),(NºAsuntos!C18+NºAsuntos!E18)/NºAsuntos!G18," - ")</f>
        <v>1.830304896827841</v>
      </c>
      <c r="G18" s="463"/>
    </row>
    <row r="19" spans="1:7" ht="15.75" customHeight="1" thickTop="1" thickBot="1">
      <c r="A19" s="793" t="str">
        <f>Datos!A19</f>
        <v>TOTAL JURISDICCIONES</v>
      </c>
      <c r="B19" s="808">
        <f>IF(ISNUMBER(NºAsuntos!G19/NºAsuntos!E19),NºAsuntos!G19/NºAsuntos!E19," - ")</f>
        <v>0.76709718399322468</v>
      </c>
      <c r="C19" s="809">
        <f>IF(ISNUMBER(NºAsuntos!I19/NºAsuntos!G19),NºAsuntos!I19/NºAsuntos!G19," - ")</f>
        <v>2.666022633176925</v>
      </c>
      <c r="D19" s="810">
        <f>IF(ISNUMBER('Resol  Asuntos'!D19/NºAsuntos!G19),'Resol  Asuntos'!D19/NºAsuntos!G19," - ")</f>
        <v>0.15387800165608612</v>
      </c>
      <c r="E19" s="811">
        <f>IF(ISNUMBER((NºAsuntos!C19+NºAsuntos!E19)/NºAsuntos!G19),(NºAsuntos!C19+NºAsuntos!E19)/NºAsuntos!G19," - ")</f>
        <v>3.6636765111785814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sz26gWum7kIKcJcJIqGmM1eS43m4QXx7MyLmmMmllLvachX95a8hgiLrtjhcGU856RjFE7nW+TEwlYbQWjldg==" saltValue="fMDsPO2iGY579l3d1Rc7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 BARTOLOME DE TIRAJANA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353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322</v>
      </c>
      <c r="Y9" s="334">
        <f>SUM(W9:X9)</f>
        <v>322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10671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687</v>
      </c>
      <c r="AJ9" s="229" t="str">
        <f>IF(ISNUMBER(Datos!BW9),Datos!BW9," - ")</f>
        <v xml:space="preserve"> - </v>
      </c>
      <c r="AK9" s="228" t="str">
        <f>IF(ISNUMBER(Datos!BX9),Datos!BX9," - ")</f>
        <v xml:space="preserve"> - </v>
      </c>
      <c r="AL9" s="243">
        <f>IF(ISNUMBER(NºAsuntos!G9/NºAsuntos!E9),NºAsuntos!G9/NºAsuntos!E9," - ")</f>
        <v>0.63848255907410389</v>
      </c>
      <c r="AM9" s="260">
        <f>IF(ISNUMBER(((NºAsuntos!I9/NºAsuntos!G9)*11)/factor_trimestre),((NºAsuntos!I9/NºAsuntos!G9)*11)/factor_trimestre," - ")</f>
        <v>12.463746223564955</v>
      </c>
      <c r="AN9" s="244">
        <f>IF(ISNUMBER('Resol  Asuntos'!D9/NºAsuntos!G9),'Resol  Asuntos'!D9/NºAsuntos!G9," - ")</f>
        <v>0.1729607250755287</v>
      </c>
      <c r="AO9" s="245">
        <f>IF(ISNUMBER((NºAsuntos!C9+NºAsuntos!E9)/NºAsuntos!G9),(NºAsuntos!C9+NºAsuntos!E9)/NºAsuntos!G9," - ")</f>
        <v>5.1573514602215509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2</v>
      </c>
      <c r="Y10" s="334">
        <f t="shared" ref="Y10:Y12" si="0">SUM(W10:X10)</f>
        <v>29</v>
      </c>
      <c r="Z10" s="335" t="str">
        <f>IF(ISNUMBER(Datos!CC10),Datos!CC10," - ")</f>
        <v xml:space="preserve"> - </v>
      </c>
      <c r="AA10" s="332">
        <f>IF(ISNUMBER(Datos!L10),Datos!L10,"-")</f>
        <v>92</v>
      </c>
      <c r="AB10" s="334">
        <f>IF(ISNUMBER(Datos!R10),Datos!R10," - ")</f>
        <v>50</v>
      </c>
      <c r="AC10" s="334">
        <f t="shared" ref="AC10:AC12" si="1">IF(ISNUMBER(AA10+AB10),AA10+AB10," - ")</f>
        <v>142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10.222222222222223</v>
      </c>
      <c r="AN10" s="244">
        <f>IF(ISNUMBER('Resol  Asuntos'!D10/NºAsuntos!G10),'Resol  Asuntos'!D10/NºAsuntos!G10," - ")</f>
        <v>0.62962962962962965</v>
      </c>
      <c r="AO10" s="245">
        <f>IF(ISNUMBER((NºAsuntos!C10+NºAsuntos!E10)/NºAsuntos!G10),(NºAsuntos!C10+NºAsuntos!E10)/NºAsuntos!G10," - ")</f>
        <v>4.4074074074074074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83</v>
      </c>
      <c r="G13" s="866">
        <f t="shared" si="3"/>
        <v>83</v>
      </c>
      <c r="H13" s="865">
        <f t="shared" si="3"/>
        <v>0</v>
      </c>
      <c r="I13" s="867">
        <f t="shared" si="3"/>
        <v>0</v>
      </c>
      <c r="J13" s="867">
        <f t="shared" si="3"/>
        <v>0</v>
      </c>
      <c r="K13" s="867">
        <f t="shared" si="3"/>
        <v>0</v>
      </c>
      <c r="L13" s="867">
        <f t="shared" si="3"/>
        <v>354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328</v>
      </c>
      <c r="Y13" s="868">
        <f t="shared" si="4"/>
        <v>355</v>
      </c>
      <c r="Z13" s="868">
        <f t="shared" si="4"/>
        <v>0</v>
      </c>
      <c r="AA13" s="868">
        <f t="shared" si="4"/>
        <v>92</v>
      </c>
      <c r="AB13" s="868">
        <f t="shared" si="4"/>
        <v>11245</v>
      </c>
      <c r="AC13" s="868">
        <f t="shared" si="4"/>
        <v>142</v>
      </c>
      <c r="AD13" s="868">
        <f t="shared" si="4"/>
        <v>0</v>
      </c>
      <c r="AE13" s="872">
        <f t="shared" si="4"/>
        <v>0</v>
      </c>
      <c r="AF13" s="865">
        <f t="shared" si="4"/>
        <v>0</v>
      </c>
      <c r="AG13" s="873">
        <f t="shared" si="4"/>
        <v>0</v>
      </c>
      <c r="AH13" s="870">
        <f t="shared" si="4"/>
        <v>0</v>
      </c>
      <c r="AI13" s="865">
        <f t="shared" si="4"/>
        <v>704</v>
      </c>
      <c r="AJ13" s="867">
        <f t="shared" si="4"/>
        <v>0</v>
      </c>
      <c r="AK13" s="870">
        <f>SUBTOTAL(9,AK9:AK12)</f>
        <v>0</v>
      </c>
      <c r="AL13" s="874">
        <f>IF(ISNUMBER(NºAsuntos!G13/NºAsuntos!E13),NºAsuntos!G13/NºAsuntos!E13," - ")</f>
        <v>0.63912418091737255</v>
      </c>
      <c r="AM13" s="874">
        <f>IF(ISNUMBER(((NºAsuntos!I13/NºAsuntos!G13)*11)/factor_trimestre),((NºAsuntos!I13/NºAsuntos!G13)*11)/factor_trimestre," - ")</f>
        <v>12.448612153038258</v>
      </c>
      <c r="AN13" s="875">
        <f>IF(ISNUMBER('Resol  Asuntos'!D13/NºAsuntos!G13),'Resol  Asuntos'!D13/NºAsuntos!G13," - ")</f>
        <v>0.17604401100275069</v>
      </c>
      <c r="AO13" s="876">
        <f>IF(ISNUMBER((NºAsuntos!C13+NºAsuntos!E13)/NºAsuntos!G13),(NºAsuntos!C13+NºAsuntos!E13)/NºAsuntos!G13," - ")</f>
        <v>5.1522880720180044</v>
      </c>
      <c r="AP13" s="877" t="str">
        <f t="shared" si="2"/>
        <v xml:space="preserve"> - </v>
      </c>
      <c r="AQ13" s="877">
        <f>IF(ISNUMBER((H13-W13+K13)/(F13)),(H13-W13+K13)/(F13)," - ")</f>
        <v>-0.3253012048192771</v>
      </c>
      <c r="AR13" s="878">
        <f>IF(ISNUMBER((Datos!P13-Datos!Q13)/(Datos!R13-Datos!P13+Datos!Q13)),(Datos!P13-Datos!Q13)/(Datos!R13-Datos!P13+Datos!Q13)," - ")</f>
        <v>2.3174971031286211E-3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2582</v>
      </c>
      <c r="G15" s="333">
        <f>IF(ISNUMBER(IF(D_I="SI",Datos!I15,Datos!I15+Datos!AC15)),IF(D_I="SI",Datos!I15,Datos!I15+Datos!AC15)," - ")</f>
        <v>2554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3013</v>
      </c>
      <c r="X15" s="226">
        <f>IF(ISNUMBER(Datos!Q15),Datos!Q15," - ")</f>
        <v>56</v>
      </c>
      <c r="Y15" s="334">
        <f>SUM(W15)</f>
        <v>3013</v>
      </c>
      <c r="Z15" s="335" t="str">
        <f>IF(ISNUMBER(Datos!CC15),Datos!CC15," - ")</f>
        <v xml:space="preserve"> - </v>
      </c>
      <c r="AA15" s="332">
        <f>IF(ISNUMBER(IF(D_I="SI",Datos!L15,Datos!L15+Datos!AF15)),IF(D_I="SI",Datos!L15,Datos!L15+Datos!AF15)," - ")</f>
        <v>2482</v>
      </c>
      <c r="AB15" s="334">
        <f>IF(ISNUMBER(Datos!R15),Datos!R15," - ")</f>
        <v>612</v>
      </c>
      <c r="AC15" s="334">
        <f t="shared" ref="AC15:AC17" si="6">IF(ISNUMBER(AA15+AB15),AA15+AB15," - ")</f>
        <v>3094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359</v>
      </c>
      <c r="AJ15" s="231" t="str">
        <f>IF(ISNUMBER(Datos!BW15),Datos!BW15," - ")</f>
        <v xml:space="preserve"> - </v>
      </c>
      <c r="AK15" s="232" t="str">
        <f>IF(ISNUMBER(Datos!BX15),Datos!BX15," - ")</f>
        <v xml:space="preserve"> - </v>
      </c>
      <c r="AL15" s="243">
        <f>IF(ISNUMBER(NºAsuntos!G15/NºAsuntos!E15),NºAsuntos!G15/NºAsuntos!E15," - ")</f>
        <v>1.0343288705801579</v>
      </c>
      <c r="AM15" s="260">
        <f>IF(ISNUMBER(((NºAsuntos!I15/NºAsuntos!G15)*11)/factor_trimestre),((NºAsuntos!I15/NºAsuntos!G15)*11)/factor_trimestre," - ")</f>
        <v>2.4712910720212413</v>
      </c>
      <c r="AN15" s="244">
        <f>IF(ISNUMBER('Resol  Asuntos'!D15/NºAsuntos!G15),'Resol  Asuntos'!D15/NºAsuntos!G15," - ")</f>
        <v>0.1191503484898772</v>
      </c>
      <c r="AO15" s="245">
        <f>IF(ISNUMBER((NºAsuntos!C15+NºAsuntos!E15)/NºAsuntos!G15),(NºAsuntos!C15+NºAsuntos!E15)/NºAsuntos!G15," - ")</f>
        <v>1.814470627281779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7</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v>
      </c>
      <c r="X16" s="226">
        <f>IF(ISNUMBER(Datos!Q16),Datos!Q16," - ")</f>
        <v>0</v>
      </c>
      <c r="Y16" s="334">
        <f t="shared" ref="Y16:Y17" si="7">SUM(W16:X16)</f>
        <v>4</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2.25</v>
      </c>
      <c r="AN16" s="244">
        <f>IF(ISNUMBER('Resol  Asuntos'!D16/NºAsuntos!G16),'Resol  Asuntos'!D16/NºAsuntos!G16," - ")</f>
        <v>0</v>
      </c>
      <c r="AO16" s="245">
        <f>IF(ISNUMBER((NºAsuntos!C16+NºAsuntos!E16)/NºAsuntos!G16),(NºAsuntos!C16+NºAsuntos!E16)/NºAsuntos!G16," - ")</f>
        <v>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230</v>
      </c>
      <c r="X17" s="226">
        <f>IF(ISNUMBER(Datos!Q17),Datos!Q17," - ")</f>
        <v>1</v>
      </c>
      <c r="Y17" s="334">
        <f t="shared" si="7"/>
        <v>231</v>
      </c>
      <c r="Z17" s="335" t="str">
        <f>IF(ISNUMBER(Datos!CC17),Datos!CC17," - ")</f>
        <v xml:space="preserve"> - </v>
      </c>
      <c r="AA17" s="332">
        <f>IF(ISNUMBER(Datos!L17),Datos!L17,"-")</f>
        <v>239</v>
      </c>
      <c r="AB17" s="334">
        <f>IF(ISNUMBER(Datos!R17),Datos!R17," - ")</f>
        <v>35</v>
      </c>
      <c r="AC17" s="334">
        <f t="shared" si="6"/>
        <v>274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52</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3.1173913043478265</v>
      </c>
      <c r="AN17" s="244">
        <f>IF(ISNUMBER('Resol  Asuntos'!D17/NºAsuntos!G17),'Resol  Asuntos'!D17/NºAsuntos!G17," - ")</f>
        <v>0.22608695652173913</v>
      </c>
      <c r="AO17" s="245">
        <f>IF(ISNUMBER((NºAsuntos!C17+NºAsuntos!E17)/NºAsuntos!G17),(NºAsuntos!C17+NºAsuntos!E17)/NºAsuntos!G17," - ")</f>
        <v>2.034782608695652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2589</v>
      </c>
      <c r="G18" s="866">
        <f>SUBTOTAL(9,G15:G17)</f>
        <v>2754</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3247</v>
      </c>
      <c r="X18" s="867">
        <f t="shared" si="11"/>
        <v>57</v>
      </c>
      <c r="Y18" s="868">
        <f t="shared" si="11"/>
        <v>3248</v>
      </c>
      <c r="Z18" s="868">
        <f t="shared" si="11"/>
        <v>0</v>
      </c>
      <c r="AA18" s="868">
        <f t="shared" si="11"/>
        <v>2724</v>
      </c>
      <c r="AB18" s="868">
        <f t="shared" si="11"/>
        <v>647</v>
      </c>
      <c r="AC18" s="868">
        <f t="shared" si="11"/>
        <v>3371</v>
      </c>
      <c r="AD18" s="868">
        <f t="shared" si="11"/>
        <v>0</v>
      </c>
      <c r="AE18" s="872">
        <f t="shared" si="11"/>
        <v>0</v>
      </c>
      <c r="AF18" s="865">
        <f t="shared" si="11"/>
        <v>0</v>
      </c>
      <c r="AG18" s="873">
        <f t="shared" si="11"/>
        <v>0</v>
      </c>
      <c r="AH18" s="870">
        <f t="shared" si="11"/>
        <v>0</v>
      </c>
      <c r="AI18" s="865">
        <f t="shared" si="11"/>
        <v>411</v>
      </c>
      <c r="AJ18" s="867">
        <f t="shared" si="11"/>
        <v>0</v>
      </c>
      <c r="AK18" s="870">
        <f t="shared" si="11"/>
        <v>0</v>
      </c>
      <c r="AL18" s="874">
        <f>IF(ISNUMBER(NºAsuntos!G18/NºAsuntos!E18),NºAsuntos!G18/NºAsuntos!E18," - ")</f>
        <v>1.0181875195986203</v>
      </c>
      <c r="AM18" s="874">
        <f>IF(ISNUMBER(((NºAsuntos!I18/NºAsuntos!G18)*11)/factor_trimestre),((NºAsuntos!I18/NºAsuntos!G18)*11)/factor_trimestre," - ")</f>
        <v>2.5167847243609485</v>
      </c>
      <c r="AN18" s="875">
        <f>IF(ISNUMBER('Resol  Asuntos'!D18/NºAsuntos!G18),'Resol  Asuntos'!D18/NºAsuntos!G18," - ")</f>
        <v>0.12657838004311672</v>
      </c>
      <c r="AO18" s="876">
        <f>IF(ISNUMBER((NºAsuntos!C18+NºAsuntos!E18)/NºAsuntos!G18),(NºAsuntos!C18+NºAsuntos!E18)/NºAsuntos!G18," - ")</f>
        <v>1.830304896827841</v>
      </c>
      <c r="AP18" s="877" t="str">
        <f t="shared" si="2"/>
        <v xml:space="preserve"> - </v>
      </c>
      <c r="AQ18" s="877">
        <f>IF(ISNUMBER((H18-W18+K18)/(F18)),(H18-W18+K18)/(F18)," - ")</f>
        <v>-1.2541521823097721</v>
      </c>
      <c r="AR18" s="878">
        <f>IF(ISNUMBER((Datos!P18-Datos!Q18)/(Datos!R18-Datos!P18+Datos!Q18)),(Datos!P18-Datos!Q18)/(Datos!R18-Datos!P18+Datos!Q18)," - ")</f>
        <v>5.5464926590538338E-2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2672</v>
      </c>
      <c r="G19" s="821">
        <f t="shared" si="13"/>
        <v>2837</v>
      </c>
      <c r="H19" s="820">
        <f t="shared" si="13"/>
        <v>0</v>
      </c>
      <c r="I19" s="822">
        <f t="shared" si="13"/>
        <v>0</v>
      </c>
      <c r="J19" s="822">
        <f t="shared" si="13"/>
        <v>0</v>
      </c>
      <c r="K19" s="881">
        <f t="shared" si="13"/>
        <v>0</v>
      </c>
      <c r="L19" s="822">
        <f t="shared" si="13"/>
        <v>445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3274</v>
      </c>
      <c r="X19" s="821">
        <f t="shared" si="14"/>
        <v>385</v>
      </c>
      <c r="Y19" s="828">
        <f t="shared" si="14"/>
        <v>3603</v>
      </c>
      <c r="Z19" s="828">
        <f t="shared" si="14"/>
        <v>0</v>
      </c>
      <c r="AA19" s="828">
        <f t="shared" si="14"/>
        <v>2816</v>
      </c>
      <c r="AB19" s="828">
        <f t="shared" si="14"/>
        <v>11892</v>
      </c>
      <c r="AC19" s="828">
        <f t="shared" si="14"/>
        <v>3513</v>
      </c>
      <c r="AD19" s="828">
        <f t="shared" si="14"/>
        <v>0</v>
      </c>
      <c r="AE19" s="830">
        <f t="shared" si="14"/>
        <v>0</v>
      </c>
      <c r="AF19" s="831">
        <f t="shared" si="14"/>
        <v>0</v>
      </c>
      <c r="AG19" s="832">
        <f t="shared" si="14"/>
        <v>0</v>
      </c>
      <c r="AH19" s="830">
        <f t="shared" si="14"/>
        <v>0</v>
      </c>
      <c r="AI19" s="820">
        <f t="shared" si="14"/>
        <v>1115</v>
      </c>
      <c r="AJ19" s="820">
        <f t="shared" si="14"/>
        <v>0</v>
      </c>
      <c r="AK19" s="830">
        <f t="shared" si="14"/>
        <v>0</v>
      </c>
      <c r="AL19" s="884">
        <f>IF(ISNUMBER(NºAsuntos!G19/NºAsuntos!E19),NºAsuntos!G19/NºAsuntos!E19," - ")</f>
        <v>0.76709718399322468</v>
      </c>
      <c r="AM19" s="885">
        <f>IF(ISNUMBER(((NºAsuntos!I19/NºAsuntos!G19)*11)/factor_trimestre),((NºAsuntos!I19/NºAsuntos!G19)*11)/factor_trimestre," - ")</f>
        <v>7.998067899530775</v>
      </c>
      <c r="AN19" s="885">
        <f>IF(ISNUMBER('Resol  Asuntos'!D19/NºAsuntos!G19),'Resol  Asuntos'!D19/NºAsuntos!G19," - ")</f>
        <v>0.15387800165608612</v>
      </c>
      <c r="AO19" s="886">
        <f>IF(ISNUMBER((NºAsuntos!C19+NºAsuntos!E19)/NºAsuntos!G19),(NºAsuntos!C19+NºAsuntos!E19)/NºAsuntos!G19," - ")</f>
        <v>3.6636765111785814</v>
      </c>
      <c r="AP19" s="887" t="str">
        <f t="shared" si="2"/>
        <v xml:space="preserve"> - </v>
      </c>
      <c r="AQ19" s="888">
        <f>IF(OR(ISNUMBER(FIND("01",Criterios!A8,1)),ISNUMBER(FIND("02",Criterios!A8,1)),ISNUMBER(FIND("03",Criterios!A8,1)),ISNUMBER(FIND("04",Criterios!A8,1))),(I19-W19+K19)/(F19-K19),(H19-W19+K19)/(F19-K19))</f>
        <v>-1.2252994011976048</v>
      </c>
      <c r="AR19" s="889">
        <f>IF(ISNUMBER((Datos!P19-Datos!Q19)/(Datos!R19-Datos!P19+Datos!Q19)),(Datos!P19-Datos!Q19)/(Datos!R19-Datos!P19+Datos!Q19)," - ")</f>
        <v>5.0709939148073022E-3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945.66666666666663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1384.9011517072256</v>
      </c>
      <c r="G21" s="253">
        <f>IF(ISNUMBER(STDEV(G8:G18)),STDEV(G8:G18),"-")</f>
        <v>1326.0788312414411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1583.0035586399251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303.96604603616032</v>
      </c>
      <c r="AJ21" s="252">
        <f t="shared" si="18"/>
        <v>0</v>
      </c>
      <c r="AK21" s="254">
        <f t="shared" si="18"/>
        <v>0</v>
      </c>
      <c r="AL21" s="249">
        <f t="shared" si="18"/>
        <v>0.17660715865674773</v>
      </c>
      <c r="AM21" s="250">
        <f t="shared" si="18"/>
        <v>4.9397743004205417</v>
      </c>
      <c r="AN21" s="250">
        <f t="shared" si="18"/>
        <v>0.19921971082663492</v>
      </c>
      <c r="AO21" s="251">
        <f t="shared" si="18"/>
        <v>1.6173008555022379</v>
      </c>
      <c r="AP21" s="291" t="str">
        <f t="shared" si="18"/>
        <v>-</v>
      </c>
      <c r="AQ21" s="292">
        <f t="shared" si="18"/>
        <v>0.65679682489528213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J/sUH/qDWXr0U2hF/dCdgk5grO/8wXHOAjQ8FHl70kJ5k6zdWlJztbbcuMqV7tfgnH4LsId0O7gss0v8Mw2g==" saltValue="oYsK95OacZPQ8aSBqPb05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 BARTOLOME DE TIRAJANA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0.23783783783783785</v>
      </c>
      <c r="I9" s="350">
        <f>IF(ISNUMBER((Tasas!C9-Datos!BE9)/Datos!BE9),(Tasas!C9-Datos!BE9)/Datos!BE9," - ")</f>
        <v>-3.9988177049446148E-2</v>
      </c>
      <c r="J9" s="349">
        <f>IF(ISNUMBER((Tasas!D9-Datos!BF9)/Datos!BF9),(Tasas!D9-Datos!BF9)/Datos!BF9," - ")</f>
        <v>-0.71603463047301252</v>
      </c>
      <c r="K9" s="351">
        <f>IF(ISNUMBER((Tasas!E9-Datos!BG9)/Datos!BG9),(Tasas!E9-Datos!BG9)/Datos!BG9," - ")</f>
        <v>-3.1962561217031962E-2</v>
      </c>
      <c r="M9" t="e">
        <f>IF(Monitorios="SI",Datos!CE9,0)</f>
        <v>#REF!</v>
      </c>
      <c r="N9" t="e">
        <f>IF(Monitorios="SI",Datos!CF9,0)</f>
        <v>#REF!</v>
      </c>
      <c r="O9" t="e">
        <f>IF(Monitorios="SI",Datos!CG9,0)</f>
        <v>#REF!</v>
      </c>
      <c r="P9" t="e">
        <f>IF(Monitorios="SI",Datos!CH9,0)</f>
        <v>#REF!</v>
      </c>
      <c r="Q9">
        <f>IF(J_V="SI",0,Datos!AG9)</f>
        <v>347</v>
      </c>
      <c r="R9">
        <f>IF(J_V="SI",0,Datos!AH9)</f>
        <v>115</v>
      </c>
      <c r="S9">
        <f>IF(J_V="SI",0,Datos!AI9)</f>
        <v>91</v>
      </c>
      <c r="T9">
        <f>IF(J_V="SI",0,Datos!AJ9)</f>
        <v>371</v>
      </c>
    </row>
    <row r="10" spans="2:20" ht="14.25">
      <c r="B10" s="275" t="s">
        <v>246</v>
      </c>
      <c r="C10" s="7" t="str">
        <f>Datos!A10</f>
        <v>Jdos. Violencia contra la mujer</v>
      </c>
      <c r="D10" s="352">
        <f>IF(ISNUMBER((Datos!I10-Datos!S10)/Datos!S10),(Datos!I10-Datos!S10)/Datos!S10," - ")</f>
        <v>-8.7912087912087919E-2</v>
      </c>
      <c r="E10" s="348">
        <f>IF(ISNUMBER((Datos!J10-Datos!T10)/Datos!T10),(Datos!J10-Datos!T10)/Datos!T10," - ")</f>
        <v>-0.44615384615384618</v>
      </c>
      <c r="F10" s="348">
        <f>IF(ISNUMBER((Datos!K10-Datos!U10)/Datos!U10),(Datos!K10-Datos!U10)/Datos!U10," - ")</f>
        <v>-0.625</v>
      </c>
      <c r="G10" s="349">
        <f>IF(ISNUMBER((Datos!L10-Datos!V10)/Datos!V10),(Datos!L10-Datos!V10)/Datos!V10," - ")</f>
        <v>9.5238095238095233E-2</v>
      </c>
      <c r="H10" s="230">
        <f>IF(ISNUMBER((Datos!M10-Datos!W10)/Datos!W10),(Datos!M10-Datos!W10)/Datos!W10," - ")</f>
        <v>-0.19047619047619047</v>
      </c>
      <c r="I10" s="350">
        <f>IF(ISNUMBER((Tasas!C10-Datos!BE10)/Datos!BE10),(Tasas!C10-Datos!BE10)/Datos!BE10," - ")</f>
        <v>1.9206349206349203</v>
      </c>
      <c r="J10" s="349">
        <f>IF(ISNUMBER((Tasas!D10-Datos!BF10)/Datos!BF10),(Tasas!D10-Datos!BF10)/Datos!BF10," - ")</f>
        <v>1.1587301587301586</v>
      </c>
      <c r="K10" s="351">
        <f>IF(ISNUMBER((Tasas!E10-Datos!BG10)/Datos!BG10),(Tasas!E10-Datos!BG10)/Datos!BG10," - ")</f>
        <v>1.0341880341880343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0.22222222222222221</v>
      </c>
      <c r="I13" s="357">
        <f>IF(ISNUMBER((Tasas!C13-Datos!BE13)/Datos!BE13),(Tasas!C13-Datos!BE13)/Datos!BE13," - ")</f>
        <v>-2.3434701140467452E-2</v>
      </c>
      <c r="J13" s="355">
        <f>IF(ISNUMBER((Tasas!D13-Datos!BF13)/Datos!BF13),(Tasas!D13-Datos!BF13)/Datos!BF13," - ")</f>
        <v>-0.71133283030228789</v>
      </c>
      <c r="K13" s="358">
        <f>IF(ISNUMBER((Tasas!E13-Datos!BG13)/Datos!BG13),(Tasas!E13-Datos!BG13)/Datos!BG13," - ")</f>
        <v>-1.8446166257016925E-2</v>
      </c>
      <c r="M13" t="e">
        <f>IF(Monitorios="SI",Datos!CE13,0)</f>
        <v>#REF!</v>
      </c>
      <c r="N13" t="e">
        <f>IF(Monitorios="SI",Datos!CF13,0)</f>
        <v>#REF!</v>
      </c>
      <c r="O13" t="e">
        <f>IF(Monitorios="SI",Datos!CG13,0)</f>
        <v>#REF!</v>
      </c>
      <c r="P13" t="e">
        <f>IF(Monitorios="SI",Datos!CH13,0)</f>
        <v>#REF!</v>
      </c>
      <c r="Q13">
        <f>IF(J_V="SI",0,Datos!AG13)</f>
        <v>347</v>
      </c>
      <c r="R13">
        <f>IF(J_V="SI",0,Datos!AH13)</f>
        <v>115</v>
      </c>
      <c r="S13">
        <f>IF(J_V="SI",0,Datos!AI13)</f>
        <v>91</v>
      </c>
      <c r="T13">
        <f>IF(J_V="SI",0,Datos!AJ13)</f>
        <v>371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-0.21051004636785162</v>
      </c>
      <c r="E15" s="348">
        <f>IF(ISNUMBER(
   IF(D_I="SI",(Datos!J15-Datos!T15)/Datos!T15,(Datos!J15+Datos!AD15-(Datos!T15+Datos!AL15))/(Datos!T15+Datos!AL15))
     ),IF(D_I="SI",(Datos!J15-Datos!T15)/Datos!T15,(Datos!J15+Datos!AD15-(Datos!T15+Datos!AL15))/(Datos!T15+Datos!AL15))," - ")</f>
        <v>-4.2406311637080869E-2</v>
      </c>
      <c r="F15" s="348">
        <f>IF(ISNUMBER(
   IF(D_I="SI",(Datos!K15-Datos!U15)/Datos!U15,(Datos!K15+Datos!AE15-(Datos!U15+Datos!AM15))/(Datos!U15+Datos!AM15))
     ),IF(D_I="SI",(Datos!K15-Datos!U15)/Datos!U15,(Datos!K15+Datos!AE15-(Datos!U15+Datos!AM15))/(Datos!U15+Datos!AM15))," - ")</f>
        <v>-0.10434007134363853</v>
      </c>
      <c r="G15" s="349">
        <f>IF(ISNUMBER(
   IF(D_I="SI",(Datos!L15-Datos!V15)/Datos!V15,(Datos!L15+Datos!AF15-(Datos!V15+Datos!AN15))/(Datos!V15+Datos!AN15))
     ),IF(D_I="SI",(Datos!L15-Datos!V15)/Datos!V15,(Datos!L15+Datos!AF15-(Datos!V15+Datos!AN15))/(Datos!V15+Datos!AN15))," - ")</f>
        <v>-3.4992223950233284E-2</v>
      </c>
      <c r="H15" s="230">
        <f>IF(ISNUMBER((Datos!M15-Datos!W15)/Datos!W15),(Datos!M15-Datos!W15)/Datos!W15," - ")</f>
        <v>9.451219512195122E-2</v>
      </c>
      <c r="I15" s="350">
        <f>IF(ISNUMBER((Tasas!C15-Datos!BE15)/Datos!BE15),(Tasas!C15-Datos!BE15)/Datos!BE15," - ")</f>
        <v>7.7426537879659821E-2</v>
      </c>
      <c r="J15" s="349">
        <f>IF(ISNUMBER((Tasas!D15-Datos!BF15)/Datos!BF15),(Tasas!D15-Datos!BF15)/Datos!BF15," - ")</f>
        <v>0.22201759853642342</v>
      </c>
      <c r="K15" s="351">
        <f>IF(ISNUMBER((Tasas!E15-Datos!BG15)/Datos!BG15),(Tasas!E15-Datos!BG15)/Datos!BG15," - ")</f>
        <v>-2.758018318051543E-2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-0.1111111111111111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-0.625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0.21518987341772153</v>
      </c>
      <c r="E17" s="348">
        <f>IF(ISNUMBER(
   IF(D_I="SI",(Datos!J17-Datos!T17)/Datos!T17,(Datos!J17+Datos!AD17-(Datos!T17+Datos!AL17))/(Datos!T17+Datos!AL17))
     ),IF(D_I="SI",(Datos!J17-Datos!T17)/Datos!T17,(Datos!J17+Datos!AD17-(Datos!T17+Datos!AL17))/(Datos!T17+Datos!AL17))," - ")</f>
        <v>0.22666666666666666</v>
      </c>
      <c r="F17" s="348">
        <f>IF(ISNUMBER(
   IF(D_I="SI",(Datos!K17-Datos!U17)/Datos!U17,(Datos!K17+Datos!AE17-(Datos!U17+Datos!AM17))/(Datos!U17+Datos!AM17))
     ),IF(D_I="SI",(Datos!K17-Datos!U17)/Datos!U17,(Datos!K17+Datos!AE17-(Datos!U17+Datos!AM17))/(Datos!U17+Datos!AM17))," - ")</f>
        <v>0.27777777777777779</v>
      </c>
      <c r="G17" s="349">
        <f>IF(ISNUMBER(
   IF(D_I="SI",(Datos!L17-Datos!V17)/Datos!V17,(Datos!L17+Datos!AF17-(Datos!V17+Datos!AN17))/(Datos!V17+Datos!AN17))
     ),IF(D_I="SI",(Datos!L17-Datos!V17)/Datos!V17,(Datos!L17+Datos!AF17-(Datos!V17+Datos!AN17))/(Datos!V17+Datos!AN17))," - ")</f>
        <v>0.16019417475728157</v>
      </c>
      <c r="H17" s="230">
        <f>IF(ISNUMBER((Datos!M17-Datos!W17)/Datos!W17),(Datos!M17-Datos!W17)/Datos!W17," - ")</f>
        <v>-0.11864406779661017</v>
      </c>
      <c r="I17" s="350">
        <f>IF(ISNUMBER((Tasas!C17-Datos!BE17)/Datos!BE17),(Tasas!C17-Datos!BE17)/Datos!BE17," - ")</f>
        <v>-9.2021950189953516E-2</v>
      </c>
      <c r="J17" s="349">
        <f>IF(ISNUMBER((Tasas!D17-Datos!BF17)/Datos!BF17),(Tasas!D17-Datos!BF17)/Datos!BF17," - ")</f>
        <v>-0.31024318349299929</v>
      </c>
      <c r="K17" s="351">
        <f>IF(ISNUMBER((Tasas!E17-Datos!BG17)/Datos!BG17),(Tasas!E17-Datos!BG17)/Datos!BG17," - ")</f>
        <v>-4.3705301396299329E-2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-0.19047619047619047</v>
      </c>
      <c r="E18" s="354">
        <f>IF(ISNUMBER(
   IF(D_I="SI",(Datos!J18-Datos!T18)/Datos!T18,(Datos!J18+Datos!AD18-(Datos!T18+Datos!AL18))/(Datos!T18+Datos!AL18))
     ),IF(D_I="SI",(Datos!J18-Datos!T18)/Datos!T18,(Datos!J18+Datos!AD18-(Datos!T18+Datos!AL18))/(Datos!T18+Datos!AL18))," - ")</f>
        <v>-2.3875114784205693E-2</v>
      </c>
      <c r="F18" s="354">
        <f>IF(ISNUMBER(
   IF(D_I="SI",(Datos!K18-Datos!U18)/Datos!U18,(Datos!K18+Datos!AE18-(Datos!U18+Datos!AM18))/(Datos!U18+Datos!AM18))
     ),IF(D_I="SI",(Datos!K18-Datos!U18)/Datos!U18,(Datos!K18+Datos!AE18-(Datos!U18+Datos!AM18))/(Datos!U18+Datos!AM18))," - ")</f>
        <v>-8.3803611738148986E-2</v>
      </c>
      <c r="G18" s="355">
        <f>IF(ISNUMBER(
   IF(D_I="SI",(Datos!L18-Datos!V18)/Datos!V18,(Datos!L18+Datos!AF18-(Datos!V18+Datos!AN18))/(Datos!V18+Datos!AN18))
     ),IF(D_I="SI",(Datos!L18-Datos!V18)/Datos!V18,(Datos!L18+Datos!AF18-(Datos!V18+Datos!AN18))/(Datos!V18+Datos!AN18))," - ")</f>
        <v>-2.2254127781765973E-2</v>
      </c>
      <c r="H18" s="356">
        <f>IF(ISNUMBER((Datos!M18-Datos!W18)/Datos!W18),(Datos!M18-Datos!W18)/Datos!W18," - ")</f>
        <v>6.2015503875968991E-2</v>
      </c>
      <c r="I18" s="357">
        <f>IF(ISNUMBER((Tasas!C18-Datos!BE18)/Datos!BE18),(Tasas!C18-Datos!BE18)/Datos!BE18," - ")</f>
        <v>6.7179356680450053E-2</v>
      </c>
      <c r="J18" s="355">
        <f>IF(ISNUMBER((Tasas!D18-Datos!BF18)/Datos!BF18),(Tasas!D18-Datos!BF18)/Datos!BF18," - ")</f>
        <v>0.15915705135091904</v>
      </c>
      <c r="K18" s="358">
        <f>IF(ISNUMBER((Tasas!E18-Datos!BG18)/Datos!BG18),(Tasas!E18-Datos!BG18)/Datos!BG18," - ")</f>
        <v>-2.7350344225840612E-2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0.16850017082336863</v>
      </c>
      <c r="E19" s="363">
        <f>IF(ISNUMBER(
   IF(J_V="SI",(Datos!J19-Datos!T19)/Datos!T19,(Datos!J19+Datos!Z19-(Datos!T19+Datos!AH19))/(Datos!T19+Datos!AH19))
     ),IF(J_V="SI",(Datos!J19-Datos!T19)/Datos!T19,(Datos!J19+Datos!Z19-(Datos!T19+Datos!AH19))/(Datos!T19+Datos!AH19))," - ")</f>
        <v>0.37958229881700012</v>
      </c>
      <c r="F19" s="363">
        <f>IF(ISNUMBER(
   IF(J_V="SI",(Datos!K19-Datos!U19)/Datos!U19,(Datos!K19+Datos!AA19-(Datos!U19+Datos!AI19))/(Datos!U19+Datos!AI19))
     ),IF(J_V="SI",(Datos!K19-Datos!U19)/Datos!U19,(Datos!K19+Datos!AA19-(Datos!U19+Datos!AI19))/(Datos!U19+Datos!AI19))," - ")</f>
        <v>0.138234370091109</v>
      </c>
      <c r="G19" s="364">
        <f>IF(ISNUMBER(
   IF(J_V="SI",(Datos!L19-Datos!V19)/Datos!V19,(Datos!L19+Datos!AB19-(Datos!V19+Datos!AJ19))/(Datos!V19+Datos!AJ19))
     ),IF(J_V="SI",(Datos!L19-Datos!V19)/Datos!V19,(Datos!L19+Datos!AB19-(Datos!V19+Datos!AJ19))/(Datos!V19+Datos!AJ19))," - ")</f>
        <v>0.30730188806929687</v>
      </c>
      <c r="H19" s="365">
        <f>IF(ISNUMBER((Datos!M19-Datos!W19)/Datos!W19),(Datos!M19-Datos!W19)/Datos!W19," - ")</f>
        <v>0.15784008307372793</v>
      </c>
      <c r="I19" s="362">
        <f>IF(ISNUMBER((Tasas!C19-Datos!BE19)/Datos!BE19),(Tasas!C19-Datos!BE19)/Datos!BE19," - ")</f>
        <v>0.14853489089830843</v>
      </c>
      <c r="J19" s="363">
        <f>IF(ISNUMBER((Tasas!D19-Datos!BF19)/Datos!BF19),(Tasas!D19-Datos!BF19)/Datos!BF19," - ")</f>
        <v>-0.5353001145433377</v>
      </c>
      <c r="K19" s="364">
        <f>IF(ISNUMBER((Tasas!E19-Datos!BG19)/Datos!BG19),(Tasas!E19-Datos!BG19)/Datos!BG19," - ")</f>
        <v>8.5698010900421173E-2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0.17128874413274539</v>
      </c>
      <c r="E21" s="278">
        <f t="shared" si="1"/>
        <v>0.27831841749906455</v>
      </c>
      <c r="F21" s="278">
        <f t="shared" si="1"/>
        <v>0.37150200830099561</v>
      </c>
      <c r="G21" s="279">
        <f t="shared" si="1"/>
        <v>0.31250724722689321</v>
      </c>
      <c r="H21" s="285">
        <f t="shared" si="1"/>
        <v>0.17511686432759985</v>
      </c>
      <c r="I21" s="277">
        <f t="shared" si="1"/>
        <v>0.78766438623606194</v>
      </c>
      <c r="J21" s="278">
        <f t="shared" si="1"/>
        <v>0.71073406878194778</v>
      </c>
      <c r="K21" s="279">
        <f t="shared" si="1"/>
        <v>0.43445271047967954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qdVvzUheG8yaH2ubAMYKZAxjwkmzjp9c+Y5uR0L/vYSzjt3qPQwvw7z4iM+3wHyFsBctH0I2j+fw7Qp8hGCGQ==" saltValue="vRCdngN7vK6ynPQ6MWdmG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